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e268c104ac439a/Desktop/New folder (2)/New folder/NEITI_22-23 OGA/NEITI_2022_2023 Final Reporting/1-Contextual Report ^M Main Reports_Review Feedback/2022-2023 NEITI OGA Appendix/"/>
    </mc:Choice>
  </mc:AlternateContent>
  <xr:revisionPtr revIDLastSave="48" documentId="8_{0559362C-96F3-4E12-BFF3-4882435DCFD2}" xr6:coauthVersionLast="47" xr6:coauthVersionMax="47" xr10:uidLastSave="{5AF40D91-2FAE-4F36-936C-805D2495C3D7}"/>
  <bookViews>
    <workbookView xWindow="-110" yWindow="-110" windowWidth="19420" windowHeight="10300" activeTab="2" xr2:uid="{EF11AB55-4B16-42A6-AA02-0335339DA2EF}"/>
  </bookViews>
  <sheets>
    <sheet name="Crude Oil Production _2022-2023" sheetId="1" r:id="rId1"/>
    <sheet name="Crude Lifitng_2022" sheetId="2" r:id="rId2"/>
    <sheet name="Crude Lifitng_2023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5" i="3" l="1"/>
  <c r="M95" i="3"/>
  <c r="L95" i="3"/>
  <c r="K95" i="3"/>
  <c r="J95" i="3"/>
  <c r="I95" i="3"/>
  <c r="H95" i="3"/>
  <c r="G95" i="3"/>
  <c r="F95" i="3"/>
  <c r="E95" i="3"/>
  <c r="D95" i="3"/>
  <c r="C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0" i="3"/>
  <c r="O39" i="3"/>
  <c r="O38" i="3"/>
  <c r="O37" i="3"/>
  <c r="O36" i="3"/>
  <c r="O35" i="3"/>
  <c r="O33" i="3"/>
  <c r="O32" i="3"/>
  <c r="O31" i="3"/>
  <c r="O30" i="3"/>
  <c r="O29" i="3"/>
  <c r="O28" i="3"/>
  <c r="O27" i="3"/>
  <c r="O25" i="3"/>
  <c r="O24" i="3"/>
  <c r="O23" i="3"/>
  <c r="O22" i="3"/>
  <c r="O21" i="3"/>
  <c r="O20" i="3"/>
  <c r="O19" i="3"/>
  <c r="O18" i="3"/>
  <c r="O16" i="3"/>
  <c r="O15" i="3"/>
  <c r="O14" i="3"/>
  <c r="O13" i="3"/>
  <c r="O12" i="3"/>
  <c r="O10" i="3"/>
  <c r="O9" i="3"/>
  <c r="B94" i="2"/>
  <c r="O46" i="2"/>
  <c r="E94" i="2"/>
  <c r="D94" i="2"/>
  <c r="M94" i="2"/>
  <c r="L94" i="2"/>
  <c r="K94" i="2"/>
  <c r="J94" i="2"/>
  <c r="I94" i="2"/>
  <c r="H94" i="2"/>
  <c r="G94" i="2"/>
  <c r="F94" i="2"/>
  <c r="C94" i="2"/>
  <c r="U101" i="1"/>
  <c r="Q101" i="1"/>
  <c r="P100" i="1"/>
  <c r="P99" i="1"/>
  <c r="S98" i="1"/>
  <c r="P98" i="1" s="1"/>
  <c r="P97" i="1"/>
  <c r="P96" i="1"/>
  <c r="P95" i="1"/>
  <c r="S94" i="1"/>
  <c r="P94" i="1" s="1"/>
  <c r="S93" i="1"/>
  <c r="P93" i="1" s="1"/>
  <c r="P92" i="1"/>
  <c r="P91" i="1"/>
  <c r="P90" i="1"/>
  <c r="S89" i="1"/>
  <c r="P89" i="1" s="1"/>
  <c r="P88" i="1"/>
  <c r="S87" i="1"/>
  <c r="P87" i="1" s="1"/>
  <c r="P86" i="1"/>
  <c r="P85" i="1"/>
  <c r="P84" i="1"/>
  <c r="P83" i="1"/>
  <c r="V82" i="1"/>
  <c r="P81" i="1"/>
  <c r="P80" i="1"/>
  <c r="P79" i="1"/>
  <c r="S78" i="1"/>
  <c r="P78" i="1" s="1"/>
  <c r="P77" i="1"/>
  <c r="P76" i="1"/>
  <c r="P75" i="1"/>
  <c r="P74" i="1"/>
  <c r="P73" i="1"/>
  <c r="V72" i="1"/>
  <c r="T72" i="1"/>
  <c r="S72" i="1"/>
  <c r="P71" i="1"/>
  <c r="P70" i="1"/>
  <c r="P69" i="1"/>
  <c r="P68" i="1"/>
  <c r="P67" i="1"/>
  <c r="P66" i="1"/>
  <c r="P65" i="1"/>
  <c r="S64" i="1"/>
  <c r="P64" i="1" s="1"/>
  <c r="V63" i="1"/>
  <c r="T63" i="1"/>
  <c r="S63" i="1"/>
  <c r="R63" i="1"/>
  <c r="S62" i="1"/>
  <c r="P62" i="1" s="1"/>
  <c r="S61" i="1"/>
  <c r="P61" i="1" s="1"/>
  <c r="R60" i="1"/>
  <c r="P60" i="1" s="1"/>
  <c r="S59" i="1"/>
  <c r="P59" i="1" s="1"/>
  <c r="S58" i="1"/>
  <c r="P58" i="1" s="1"/>
  <c r="S57" i="1"/>
  <c r="P57" i="1" s="1"/>
  <c r="P56" i="1"/>
  <c r="P55" i="1"/>
  <c r="S54" i="1"/>
  <c r="P54" i="1" s="1"/>
  <c r="P53" i="1"/>
  <c r="P52" i="1"/>
  <c r="S51" i="1"/>
  <c r="P51" i="1" s="1"/>
  <c r="S50" i="1"/>
  <c r="P50" i="1" s="1"/>
  <c r="P49" i="1"/>
  <c r="P48" i="1"/>
  <c r="P47" i="1"/>
  <c r="S46" i="1"/>
  <c r="P46" i="1" s="1"/>
  <c r="P45" i="1"/>
  <c r="P44" i="1"/>
  <c r="P43" i="1"/>
  <c r="P42" i="1"/>
  <c r="P41" i="1"/>
  <c r="S40" i="1"/>
  <c r="P40" i="1" s="1"/>
  <c r="P39" i="1"/>
  <c r="P38" i="1"/>
  <c r="P37" i="1"/>
  <c r="P36" i="1"/>
  <c r="P35" i="1"/>
  <c r="P34" i="1"/>
  <c r="P33" i="1"/>
  <c r="P32" i="1"/>
  <c r="S31" i="1"/>
  <c r="P31" i="1"/>
  <c r="P30" i="1"/>
  <c r="P29" i="1"/>
  <c r="S28" i="1"/>
  <c r="P28" i="1" s="1"/>
  <c r="P27" i="1"/>
  <c r="P26" i="1"/>
  <c r="P25" i="1"/>
  <c r="P24" i="1"/>
  <c r="P23" i="1"/>
  <c r="P22" i="1"/>
  <c r="P21" i="1"/>
  <c r="V20" i="1"/>
  <c r="T20" i="1"/>
  <c r="S20" i="1"/>
  <c r="R20" i="1"/>
  <c r="P19" i="1"/>
  <c r="P18" i="1"/>
  <c r="P17" i="1"/>
  <c r="P16" i="1"/>
  <c r="P15" i="1"/>
  <c r="P14" i="1"/>
  <c r="S13" i="1"/>
  <c r="P13" i="1" s="1"/>
  <c r="P12" i="1"/>
  <c r="P11" i="1"/>
  <c r="P10" i="1"/>
  <c r="P9" i="1"/>
  <c r="O95" i="3" l="1"/>
  <c r="N94" i="2"/>
  <c r="R101" i="1"/>
  <c r="P20" i="1"/>
  <c r="P63" i="1"/>
  <c r="P72" i="1"/>
  <c r="T101" i="1"/>
  <c r="P82" i="1"/>
  <c r="V101" i="1"/>
  <c r="S101" i="1"/>
  <c r="P10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tc={EEE08025-6148-48AB-A13E-040701EAAA8A}</author>
    <author>tc={DBBC984C-989A-4C76-A286-E0D67E3BE62A}</author>
  </authors>
  <commentList>
    <comment ref="G7" authorId="0" shapeId="0" xr:uid="{EEE08025-6148-48AB-A13E-040701EAAA8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NUPRC RECONCILED SIGNED OFF
</t>
      </text>
    </comment>
    <comment ref="S7" authorId="1" shapeId="0" xr:uid="{DBBC984C-989A-4C76-A286-E0D67E3BE62A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Review for consideration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tc={95FC601B-6CF5-4573-AE38-4863A8B0A5C3}</author>
    <author>tc={BD83D996-F7B0-47E7-94D9-4E861788EF2C}</author>
    <author>tc={27E0FE9A-BFEE-4AFC-994A-321774ACB686}</author>
  </authors>
  <commentList>
    <comment ref="A56" authorId="0" shapeId="0" xr:uid="{95FC601B-6CF5-4573-AE38-4863A8B0A5C3}">
      <text>
        <t>[Threaded comment]
Your version of Excel allows you to read this threaded comment; however, any edits to it will get removed if the file is opened in a newer version of Excel. Learn more: https://go.microsoft.com/fwlink/?linkid=870924
Comment:
    ARADEL</t>
      </text>
    </comment>
    <comment ref="K81" authorId="1" shapeId="0" xr:uid="{BD83D996-F7B0-47E7-94D9-4E861788EF2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OPAC Refinery delivery </t>
      </text>
    </comment>
    <comment ref="M81" authorId="2" shapeId="0" xr:uid="{27E0FE9A-BFEE-4AFC-994A-321774ACB68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                   193,467 </t>
      </text>
    </comment>
  </commentList>
</comments>
</file>

<file path=xl/sharedStrings.xml><?xml version="1.0" encoding="utf-8"?>
<sst xmlns="http://schemas.openxmlformats.org/spreadsheetml/2006/main" count="639" uniqueCount="268">
  <si>
    <t>Producers</t>
  </si>
  <si>
    <t>Abbrevation/ AKA</t>
  </si>
  <si>
    <t>Crude Type</t>
  </si>
  <si>
    <t>Crude Terminal</t>
  </si>
  <si>
    <t>Terminal Operator</t>
  </si>
  <si>
    <t>Theft/ Sabotage</t>
  </si>
  <si>
    <t>Metered Production at Flow Station (Production Platform)</t>
  </si>
  <si>
    <t>Measurement Error</t>
  </si>
  <si>
    <t xml:space="preserve">Arithmetical Inaccuracy </t>
  </si>
  <si>
    <t xml:space="preserve">Refund/ Production Adjustment </t>
  </si>
  <si>
    <t xml:space="preserve">Metered Production at Terminal </t>
  </si>
  <si>
    <t xml:space="preserve">Termnal Adjustment </t>
  </si>
  <si>
    <t xml:space="preserve">Fiscalized Production== Production Volume on the Vessel </t>
  </si>
  <si>
    <t>Arithmetical Inaccuracy</t>
  </si>
  <si>
    <t>Refund/ Production Adjustment</t>
  </si>
  <si>
    <t>Theft/ Sabotage at Flow Station</t>
  </si>
  <si>
    <t xml:space="preserve">Barrels </t>
  </si>
  <si>
    <t>Barrel</t>
  </si>
  <si>
    <t>ALL GRACE ENERGY</t>
  </si>
  <si>
    <t>Ima</t>
  </si>
  <si>
    <t>IMA/UBIMA FIELD</t>
  </si>
  <si>
    <t>ALMNI</t>
  </si>
  <si>
    <t>Aradel Holdings PLC</t>
  </si>
  <si>
    <t>BL</t>
  </si>
  <si>
    <t>BONNY</t>
  </si>
  <si>
    <t>SPDC</t>
  </si>
  <si>
    <t>AITEO EASTERN E&amp;P COMPANY LTD</t>
  </si>
  <si>
    <t>Nembe</t>
  </si>
  <si>
    <t>NEMBE</t>
  </si>
  <si>
    <t>AITEO</t>
  </si>
  <si>
    <t>AMNI International Petroleum Deveopment Company</t>
  </si>
  <si>
    <t>Okoro</t>
  </si>
  <si>
    <t>AMNI</t>
  </si>
  <si>
    <t>Antan Producing Limited</t>
  </si>
  <si>
    <t>Okwori</t>
  </si>
  <si>
    <t>ANTAN</t>
  </si>
  <si>
    <t xml:space="preserve">Antan  </t>
  </si>
  <si>
    <t>BB</t>
  </si>
  <si>
    <t>BRASS</t>
  </si>
  <si>
    <t>NAOC</t>
  </si>
  <si>
    <t>Belema Oil Company Limited</t>
  </si>
  <si>
    <t>BRITANNIA U</t>
  </si>
  <si>
    <t xml:space="preserve">Ajapa  </t>
  </si>
  <si>
    <t>AJAPA</t>
  </si>
  <si>
    <t>BRITTANIA-U</t>
  </si>
  <si>
    <t>Chevron Nigeria Limited</t>
  </si>
  <si>
    <t>EL</t>
  </si>
  <si>
    <t>Escravos</t>
  </si>
  <si>
    <t>CHEVERON</t>
  </si>
  <si>
    <t>FB</t>
  </si>
  <si>
    <t>Forcados</t>
  </si>
  <si>
    <t>ESCRAVOS</t>
  </si>
  <si>
    <t>Consolidated Oil and Gas Company Limited</t>
  </si>
  <si>
    <t>CHEVRON</t>
  </si>
  <si>
    <t>Chorus Energy Limited</t>
  </si>
  <si>
    <t>FORCADOS</t>
  </si>
  <si>
    <t xml:space="preserve">Continental Oil and Gas </t>
  </si>
  <si>
    <t xml:space="preserve">Pen  </t>
  </si>
  <si>
    <t>PENNINGTON</t>
  </si>
  <si>
    <t>NEPL</t>
  </si>
  <si>
    <t>Dubri Oil Limited</t>
  </si>
  <si>
    <t>Enageed Resource Limited</t>
  </si>
  <si>
    <t>Energia Limited</t>
  </si>
  <si>
    <t>Brass</t>
  </si>
  <si>
    <t>NNPC 18 (formerly Eroton)</t>
  </si>
  <si>
    <t>Bonny</t>
  </si>
  <si>
    <t>EXCEL E &amp; P</t>
  </si>
  <si>
    <t>Esso Exploration and Production Nigeria Limited_ERHA</t>
  </si>
  <si>
    <t>Erha</t>
  </si>
  <si>
    <t>ERHA</t>
  </si>
  <si>
    <t>MPN</t>
  </si>
  <si>
    <t>Esso Exploration and Production Nigeria Limited_USAN</t>
  </si>
  <si>
    <t>Usan</t>
  </si>
  <si>
    <t>USAN</t>
  </si>
  <si>
    <t>Frontier Oil Limited</t>
  </si>
  <si>
    <t>QIB</t>
  </si>
  <si>
    <t>QIT</t>
  </si>
  <si>
    <t xml:space="preserve"> First Exploration &amp; Petroleum Development Company Limited</t>
  </si>
  <si>
    <t>Anya</t>
  </si>
  <si>
    <t>ABIGAIL JOSEPH</t>
  </si>
  <si>
    <t>FIRST E&amp;P</t>
  </si>
  <si>
    <t>GENERAL HYDROCARBON LTD</t>
  </si>
  <si>
    <t>Oyo</t>
  </si>
  <si>
    <t>OYO</t>
  </si>
  <si>
    <t>GENERAL HYDRO</t>
  </si>
  <si>
    <t>GREEN ENERGY</t>
  </si>
  <si>
    <t>Otaki</t>
  </si>
  <si>
    <t>IMA</t>
  </si>
  <si>
    <t>Halkin Exploration and Production Limited</t>
  </si>
  <si>
    <t>Ajapa</t>
  </si>
  <si>
    <t>HEIRS ENERGY</t>
  </si>
  <si>
    <t>Midwestern Oil and Gas Limited</t>
  </si>
  <si>
    <t>Mobil Producing Nigeria Unlimited</t>
  </si>
  <si>
    <t>Yoho</t>
  </si>
  <si>
    <t>YOHO</t>
  </si>
  <si>
    <t>MILLENNIUM OIL</t>
  </si>
  <si>
    <t>MONIPULO Limited</t>
  </si>
  <si>
    <t>Nigerian Agip Exploration</t>
  </si>
  <si>
    <t>Abo</t>
  </si>
  <si>
    <t>ABO</t>
  </si>
  <si>
    <t>NAE</t>
  </si>
  <si>
    <t>Nigerian Agip Oil Company</t>
  </si>
  <si>
    <t>Network E&amp;P limited</t>
  </si>
  <si>
    <t>Newcross Petroleum Limited</t>
  </si>
  <si>
    <t>Newcross E&amp;P Limited</t>
  </si>
  <si>
    <t>NNPC E&amp;P Limited</t>
  </si>
  <si>
    <t>Bonny (oml 11)</t>
  </si>
  <si>
    <t>NEPL/NECONDE</t>
  </si>
  <si>
    <t>Pennington (oml 42)</t>
  </si>
  <si>
    <t>Jones</t>
  </si>
  <si>
    <t>Ugo Ocha (OML 42)</t>
  </si>
  <si>
    <t>NICONDE</t>
  </si>
  <si>
    <t>Okono</t>
  </si>
  <si>
    <t>Brass (OML 116)</t>
  </si>
  <si>
    <t xml:space="preserve">NEPL /ELCREST </t>
  </si>
  <si>
    <t>Forcados (oml 40)</t>
  </si>
  <si>
    <t>Forcados (oml 42)</t>
  </si>
  <si>
    <t xml:space="preserve">NEPL /SHORELINE </t>
  </si>
  <si>
    <t>Forcados (oml 30)</t>
  </si>
  <si>
    <t xml:space="preserve">NEPL /ND WESTERN </t>
  </si>
  <si>
    <t>Forcados (oml 34)</t>
  </si>
  <si>
    <t>Forcados (ND WESToml 34)</t>
  </si>
  <si>
    <t xml:space="preserve">NEPL /FHN </t>
  </si>
  <si>
    <t>Forcados (oml 26)</t>
  </si>
  <si>
    <t>Forcados (oml 65)</t>
  </si>
  <si>
    <t>Forcados (oml 98)</t>
  </si>
  <si>
    <t>Forcados (oml 111) Oredo</t>
  </si>
  <si>
    <t>Forcados (oml 111) 11% Oki</t>
  </si>
  <si>
    <t>Forcados (oml 111) Aroh</t>
  </si>
  <si>
    <t>Escravos (OML 111)</t>
  </si>
  <si>
    <t>Escravos (OML 98)</t>
  </si>
  <si>
    <t>NUWAY (formerly Petrolog Oil and Gas)</t>
  </si>
  <si>
    <t>Nuway</t>
  </si>
  <si>
    <t>NUWAY</t>
  </si>
  <si>
    <t>Oriental Energy Resources Limited</t>
  </si>
  <si>
    <t>Ebok</t>
  </si>
  <si>
    <t>EBOK</t>
  </si>
  <si>
    <t>ORIENTAL</t>
  </si>
  <si>
    <t>Pan Ocean Oil Corporation (Nigeria)</t>
  </si>
  <si>
    <t xml:space="preserve">Escravos </t>
  </si>
  <si>
    <t>PETRALON 54 LIMITED</t>
  </si>
  <si>
    <t>Pillar Oil Limited</t>
  </si>
  <si>
    <t>OPAC</t>
  </si>
  <si>
    <t>Platform Petroleum Limited</t>
  </si>
  <si>
    <t>Sterling Oil Exploration and Energy Production Company Limited</t>
  </si>
  <si>
    <t xml:space="preserve">Okwui  </t>
  </si>
  <si>
    <t>TULJA</t>
  </si>
  <si>
    <t>SEEPCO</t>
  </si>
  <si>
    <t>Sterling Global Oil Resource Limited</t>
  </si>
  <si>
    <t>Seplat Energy</t>
  </si>
  <si>
    <t>WALTERSMIT</t>
  </si>
  <si>
    <t>WALTERSMITH</t>
  </si>
  <si>
    <t>Shell Nigeria Exploration Production Company</t>
  </si>
  <si>
    <t xml:space="preserve">Bonga  </t>
  </si>
  <si>
    <t>BONGA</t>
  </si>
  <si>
    <t>SNEPCO</t>
  </si>
  <si>
    <t>Shell Production Development Company</t>
  </si>
  <si>
    <t>EA</t>
  </si>
  <si>
    <t>SEA EAGLE</t>
  </si>
  <si>
    <t>Stardeep Water Limited</t>
  </si>
  <si>
    <t>Agbami</t>
  </si>
  <si>
    <t>AGBAMI</t>
  </si>
  <si>
    <t>STARDEEP</t>
  </si>
  <si>
    <t>TENOIL PET. &amp; ENERGY SERVICES LTD/CLAYFORD</t>
  </si>
  <si>
    <t>TotalEnergies E&amp;P Limited</t>
  </si>
  <si>
    <t>Amenam</t>
  </si>
  <si>
    <t>ODUDU</t>
  </si>
  <si>
    <t>TEPNG</t>
  </si>
  <si>
    <t>TotalEnergies Upstream</t>
  </si>
  <si>
    <t>Egina</t>
  </si>
  <si>
    <t>EGINA</t>
  </si>
  <si>
    <t>TUPNI</t>
  </si>
  <si>
    <t>Akpo</t>
  </si>
  <si>
    <t>AKPO</t>
  </si>
  <si>
    <t>UNIVERSAL/SAVANNAH ENERGY</t>
  </si>
  <si>
    <t>Waltersmith Petroman Limited</t>
  </si>
  <si>
    <t>Waltersmith Refinery</t>
  </si>
  <si>
    <t>YINKA FOLAWIYO</t>
  </si>
  <si>
    <t>Aje</t>
  </si>
  <si>
    <t>AJE</t>
  </si>
  <si>
    <t>YINKAFOLAIYO</t>
  </si>
  <si>
    <t>TOTAL</t>
  </si>
  <si>
    <t xml:space="preserve">2022-2023 CRUDE OIL PRODUCTION </t>
  </si>
  <si>
    <t>2022 LIFTINGS (NET BARRELS)</t>
  </si>
  <si>
    <t>COMPANY</t>
  </si>
  <si>
    <t>JAN.</t>
  </si>
  <si>
    <t>FEB.</t>
  </si>
  <si>
    <t>MAR</t>
  </si>
  <si>
    <t>APR.</t>
  </si>
  <si>
    <t>MAY</t>
  </si>
  <si>
    <t>JUN.</t>
  </si>
  <si>
    <t>JUL</t>
  </si>
  <si>
    <t>AUG</t>
  </si>
  <si>
    <t>SEP</t>
  </si>
  <si>
    <t>OCT</t>
  </si>
  <si>
    <t>NOV</t>
  </si>
  <si>
    <t>DEC</t>
  </si>
  <si>
    <t>NNPC LTD</t>
  </si>
  <si>
    <t>NNPC E &amp; P LTD</t>
  </si>
  <si>
    <t>SHELL (SPDC &amp; SNEPCO)</t>
  </si>
  <si>
    <t>TOTAL (TEPNG, TEPNL &amp;TUPNI)</t>
  </si>
  <si>
    <t>AGIP  (NAOC, NAE &amp; AENR)</t>
  </si>
  <si>
    <t>OANDO HYDROCARBON LTD</t>
  </si>
  <si>
    <t>ELCREST</t>
  </si>
  <si>
    <t xml:space="preserve">ADDAX </t>
  </si>
  <si>
    <t>CHEVRON (CNL, CPNL, STARDEEP &amp; TEXACO)</t>
  </si>
  <si>
    <t>TNOS</t>
  </si>
  <si>
    <t>MOBIL (MPN &amp; ESSO)</t>
  </si>
  <si>
    <t>Exploration and Production Nigeria Limited_ERHA</t>
  </si>
  <si>
    <t>Exploration and Production Nigeria Limited_USAN</t>
  </si>
  <si>
    <t>EEPN(DW)L</t>
  </si>
  <si>
    <t>AMNI INT'L PETROLEUM DEV. CO. LTD</t>
  </si>
  <si>
    <t>PAN-OCEAN</t>
  </si>
  <si>
    <t>DUBRI</t>
  </si>
  <si>
    <t>CONSOLIDATED OIL</t>
  </si>
  <si>
    <t>CONTINENTAL OIL</t>
  </si>
  <si>
    <t>ENERGIA</t>
  </si>
  <si>
    <t>MONIPULO</t>
  </si>
  <si>
    <t>NIGER DELTA PETROLEUM</t>
  </si>
  <si>
    <t>PLATFORM PETROLEUM</t>
  </si>
  <si>
    <t>WALTER SMITH PETROMAN</t>
  </si>
  <si>
    <t>STATOIL (EQUINOR)</t>
  </si>
  <si>
    <t>FAMFA OIL LTD</t>
  </si>
  <si>
    <t>SAPETRO</t>
  </si>
  <si>
    <t>CHINA NATIONAL OFFSHORE OIL CORPORATION</t>
  </si>
  <si>
    <t>PETROBRAS (PRIME 127)</t>
  </si>
  <si>
    <t>BRASOIL (PRIME 130)</t>
  </si>
  <si>
    <t>FIRST HYDROCARBON NIGERIA LTD</t>
  </si>
  <si>
    <t>NECONDE</t>
  </si>
  <si>
    <t>SEPLAT PETROLEUM DEV. CO. LTD</t>
  </si>
  <si>
    <t>ORIENTAL ENERGY RESOURCES LTD</t>
  </si>
  <si>
    <t>NEXEN</t>
  </si>
  <si>
    <t>STERLING E &amp; P COMPANY LTD (SEEPCO)</t>
  </si>
  <si>
    <t>STERLING GLOBAL</t>
  </si>
  <si>
    <t>ND WESTERN</t>
  </si>
  <si>
    <t>SHORELINE</t>
  </si>
  <si>
    <t>MIDWESTERN OIL &amp; GAS COMPANY LTD</t>
  </si>
  <si>
    <t>SUNTRUST - EX MWOG</t>
  </si>
  <si>
    <t>NEWCROSS E &amp; P</t>
  </si>
  <si>
    <t>FRONTIER OIL</t>
  </si>
  <si>
    <t>UNIVERSAL</t>
  </si>
  <si>
    <t>NETWORK</t>
  </si>
  <si>
    <t>PILLAR OIL</t>
  </si>
  <si>
    <t>EXCEL PETROLEUM</t>
  </si>
  <si>
    <t>LEKOIL</t>
  </si>
  <si>
    <t>BELEMAOIL</t>
  </si>
  <si>
    <t>ENEGEED</t>
  </si>
  <si>
    <t>CHORUS ENERGY</t>
  </si>
  <si>
    <t>ALL GRACE</t>
  </si>
  <si>
    <t>FIRST E &amp; P</t>
  </si>
  <si>
    <t>HEIRS</t>
  </si>
  <si>
    <t>PETRALON 54</t>
  </si>
  <si>
    <t>TOTAL LIFTING</t>
  </si>
  <si>
    <t>NNPC E &amp; P LTD (FORMER NEPL)</t>
  </si>
  <si>
    <t>Cheveron</t>
  </si>
  <si>
    <t>Stardeep</t>
  </si>
  <si>
    <t>ESSO_ERAH</t>
  </si>
  <si>
    <t>ESSO_USAN</t>
  </si>
  <si>
    <t>ESSO_DEEPWATER</t>
  </si>
  <si>
    <t>MOBIL</t>
  </si>
  <si>
    <t>BRITTANIA UNIFORM</t>
  </si>
  <si>
    <t>TENOIL</t>
  </si>
  <si>
    <t>HALKIN</t>
  </si>
  <si>
    <t>PETRALON</t>
  </si>
  <si>
    <t>ALLIED ENERGY</t>
  </si>
  <si>
    <t>MILLENIUM</t>
  </si>
  <si>
    <t>TOTAL LIFTING (EXPORT + LOCAL SUPPLY)</t>
  </si>
  <si>
    <t xml:space="preserve"> CRUDE OIL AND CONDENSATE LIFTING FOR 2023 (NET BARRELS)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</si>
</sst>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[$-409]dd\-mmm\-yy;@"/>
    <numFmt numFmtId="167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1"/>
      <name val="Tahoma"/>
      <charset val="1"/>
    </font>
    <font>
      <sz val="10"/>
      <name val="Arial"/>
      <family val="2"/>
    </font>
    <font>
      <sz val="12"/>
      <name val="Times New Roman"/>
      <family val="1"/>
    </font>
    <font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</cellStyleXfs>
  <cellXfs count="113">
    <xf numFmtId="0" fontId="0" fillId="0" borderId="0" xfId="0"/>
    <xf numFmtId="164" fontId="3" fillId="0" borderId="7" xfId="1" applyNumberFormat="1" applyFont="1" applyFill="1" applyBorder="1" applyAlignment="1">
      <alignment wrapText="1"/>
    </xf>
    <xf numFmtId="164" fontId="3" fillId="0" borderId="9" xfId="1" applyNumberFormat="1" applyFont="1" applyFill="1" applyBorder="1" applyAlignment="1">
      <alignment wrapText="1"/>
    </xf>
    <xf numFmtId="164" fontId="3" fillId="0" borderId="2" xfId="1" applyNumberFormat="1" applyFont="1" applyFill="1" applyBorder="1" applyAlignment="1">
      <alignment wrapText="1"/>
    </xf>
    <xf numFmtId="164" fontId="3" fillId="0" borderId="4" xfId="1" applyNumberFormat="1" applyFont="1" applyFill="1" applyBorder="1" applyAlignment="1">
      <alignment wrapText="1"/>
    </xf>
    <xf numFmtId="164" fontId="3" fillId="0" borderId="11" xfId="1" applyNumberFormat="1" applyFont="1" applyFill="1" applyBorder="1" applyAlignment="1">
      <alignment wrapText="1"/>
    </xf>
    <xf numFmtId="164" fontId="3" fillId="0" borderId="12" xfId="1" applyNumberFormat="1" applyFont="1" applyFill="1" applyBorder="1" applyAlignment="1">
      <alignment wrapText="1"/>
    </xf>
    <xf numFmtId="164" fontId="3" fillId="0" borderId="13" xfId="1" applyNumberFormat="1" applyFont="1" applyFill="1" applyBorder="1" applyAlignment="1">
      <alignment wrapText="1"/>
    </xf>
    <xf numFmtId="164" fontId="3" fillId="0" borderId="15" xfId="1" applyNumberFormat="1" applyFont="1" applyFill="1" applyBorder="1" applyAlignment="1">
      <alignment wrapText="1"/>
    </xf>
    <xf numFmtId="164" fontId="3" fillId="0" borderId="16" xfId="1" applyNumberFormat="1" applyFont="1" applyFill="1" applyBorder="1" applyAlignment="1">
      <alignment wrapText="1"/>
    </xf>
    <xf numFmtId="164" fontId="3" fillId="0" borderId="5" xfId="1" applyNumberFormat="1" applyFont="1" applyFill="1" applyBorder="1" applyAlignment="1">
      <alignment wrapText="1"/>
    </xf>
    <xf numFmtId="164" fontId="3" fillId="0" borderId="8" xfId="1" applyNumberFormat="1" applyFont="1" applyFill="1" applyBorder="1" applyAlignment="1">
      <alignment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3" fillId="0" borderId="11" xfId="1" applyNumberFormat="1" applyFont="1" applyFill="1" applyBorder="1" applyAlignment="1">
      <alignment horizontal="center" vertical="center" wrapText="1"/>
    </xf>
    <xf numFmtId="164" fontId="3" fillId="0" borderId="18" xfId="1" applyNumberFormat="1" applyFont="1" applyFill="1" applyBorder="1" applyAlignment="1">
      <alignment wrapText="1"/>
    </xf>
    <xf numFmtId="164" fontId="3" fillId="0" borderId="19" xfId="1" applyNumberFormat="1" applyFont="1" applyFill="1" applyBorder="1" applyAlignment="1">
      <alignment wrapText="1"/>
    </xf>
    <xf numFmtId="164" fontId="3" fillId="0" borderId="15" xfId="1" applyNumberFormat="1" applyFont="1" applyFill="1" applyBorder="1"/>
    <xf numFmtId="164" fontId="2" fillId="0" borderId="11" xfId="1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164" fontId="3" fillId="0" borderId="10" xfId="1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164" fontId="3" fillId="0" borderId="14" xfId="1" applyNumberFormat="1" applyFont="1" applyFill="1" applyBorder="1" applyAlignment="1">
      <alignment wrapText="1"/>
    </xf>
    <xf numFmtId="0" fontId="3" fillId="0" borderId="1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164" fontId="3" fillId="0" borderId="17" xfId="1" applyNumberFormat="1" applyFont="1" applyFill="1" applyBorder="1" applyAlignment="1">
      <alignment wrapText="1"/>
    </xf>
    <xf numFmtId="0" fontId="3" fillId="0" borderId="18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0" fontId="3" fillId="0" borderId="0" xfId="2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0" xfId="0" applyFont="1" applyFill="1"/>
    <xf numFmtId="0" fontId="2" fillId="0" borderId="0" xfId="0" applyFont="1" applyFill="1"/>
    <xf numFmtId="164" fontId="2" fillId="0" borderId="0" xfId="0" applyNumberFormat="1" applyFont="1" applyFill="1"/>
    <xf numFmtId="43" fontId="2" fillId="0" borderId="0" xfId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3" fillId="0" borderId="7" xfId="0" applyFont="1" applyFill="1" applyBorder="1"/>
    <xf numFmtId="164" fontId="3" fillId="0" borderId="7" xfId="1" applyNumberFormat="1" applyFont="1" applyFill="1" applyBorder="1"/>
    <xf numFmtId="164" fontId="3" fillId="0" borderId="9" xfId="1" applyNumberFormat="1" applyFont="1" applyFill="1" applyBorder="1"/>
    <xf numFmtId="0" fontId="3" fillId="0" borderId="7" xfId="0" applyFont="1" applyFill="1" applyBorder="1" applyAlignment="1">
      <alignment horizontal="left" vertical="center"/>
    </xf>
    <xf numFmtId="164" fontId="3" fillId="0" borderId="2" xfId="1" applyNumberFormat="1" applyFont="1" applyFill="1" applyBorder="1"/>
    <xf numFmtId="164" fontId="3" fillId="0" borderId="5" xfId="1" applyNumberFormat="1" applyFont="1" applyFill="1" applyBorder="1"/>
    <xf numFmtId="164" fontId="3" fillId="0" borderId="11" xfId="1" applyNumberFormat="1" applyFont="1" applyFill="1" applyBorder="1"/>
    <xf numFmtId="164" fontId="3" fillId="0" borderId="13" xfId="1" applyNumberFormat="1" applyFont="1" applyFill="1" applyBorder="1"/>
    <xf numFmtId="164" fontId="3" fillId="0" borderId="0" xfId="0" applyNumberFormat="1" applyFont="1" applyFill="1"/>
    <xf numFmtId="164" fontId="3" fillId="0" borderId="7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vertical="center" wrapText="1"/>
    </xf>
    <xf numFmtId="164" fontId="3" fillId="0" borderId="8" xfId="1" applyNumberFormat="1" applyFont="1" applyFill="1" applyBorder="1" applyAlignment="1">
      <alignment vertical="center" wrapText="1"/>
    </xf>
    <xf numFmtId="164" fontId="3" fillId="0" borderId="11" xfId="1" applyNumberFormat="1" applyFont="1" applyFill="1" applyBorder="1" applyAlignment="1">
      <alignment vertical="center"/>
    </xf>
    <xf numFmtId="164" fontId="3" fillId="0" borderId="11" xfId="1" applyNumberFormat="1" applyFont="1" applyFill="1" applyBorder="1" applyAlignment="1">
      <alignment vertical="center" wrapText="1"/>
    </xf>
    <xf numFmtId="164" fontId="3" fillId="0" borderId="12" xfId="1" applyNumberFormat="1" applyFont="1" applyFill="1" applyBorder="1" applyAlignment="1">
      <alignment vertical="center" wrapText="1"/>
    </xf>
    <xf numFmtId="164" fontId="3" fillId="0" borderId="18" xfId="1" applyNumberFormat="1" applyFont="1" applyFill="1" applyBorder="1"/>
    <xf numFmtId="0" fontId="2" fillId="0" borderId="20" xfId="0" applyFont="1" applyFill="1" applyBorder="1"/>
    <xf numFmtId="164" fontId="2" fillId="0" borderId="12" xfId="1" applyNumberFormat="1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164" fontId="3" fillId="0" borderId="0" xfId="0" applyNumberFormat="1" applyFont="1" applyFill="1" applyAlignment="1">
      <alignment wrapText="1"/>
    </xf>
    <xf numFmtId="0" fontId="6" fillId="0" borderId="0" xfId="3" applyFont="1"/>
    <xf numFmtId="166" fontId="6" fillId="0" borderId="0" xfId="3" applyNumberFormat="1" applyFont="1"/>
    <xf numFmtId="166" fontId="6" fillId="0" borderId="0" xfId="3" applyNumberFormat="1" applyFont="1" applyAlignment="1">
      <alignment vertical="center"/>
    </xf>
    <xf numFmtId="166" fontId="6" fillId="0" borderId="0" xfId="3" applyNumberFormat="1" applyFont="1" applyAlignment="1">
      <alignment vertical="center" wrapText="1"/>
    </xf>
    <xf numFmtId="164" fontId="6" fillId="0" borderId="0" xfId="3" applyNumberFormat="1" applyFont="1"/>
    <xf numFmtId="0" fontId="7" fillId="0" borderId="0" xfId="3" applyFont="1" applyAlignment="1">
      <alignment horizontal="center"/>
    </xf>
    <xf numFmtId="0" fontId="6" fillId="0" borderId="7" xfId="3" applyFont="1" applyBorder="1"/>
    <xf numFmtId="164" fontId="6" fillId="0" borderId="7" xfId="4" applyNumberFormat="1" applyFont="1" applyFill="1" applyBorder="1" applyAlignment="1">
      <alignment vertical="top"/>
    </xf>
    <xf numFmtId="0" fontId="3" fillId="0" borderId="7" xfId="0" applyFont="1" applyBorder="1" applyAlignment="1">
      <alignment vertical="center"/>
    </xf>
    <xf numFmtId="164" fontId="6" fillId="0" borderId="7" xfId="3" applyNumberFormat="1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7" fillId="0" borderId="7" xfId="3" applyFont="1" applyBorder="1"/>
    <xf numFmtId="164" fontId="6" fillId="0" borderId="7" xfId="4" applyNumberFormat="1" applyFont="1" applyFill="1" applyBorder="1" applyAlignment="1">
      <alignment wrapText="1"/>
    </xf>
    <xf numFmtId="164" fontId="6" fillId="0" borderId="7" xfId="4" applyNumberFormat="1" applyFont="1" applyFill="1" applyBorder="1" applyAlignment="1">
      <alignment horizontal="left" wrapText="1"/>
    </xf>
    <xf numFmtId="0" fontId="6" fillId="0" borderId="0" xfId="3" applyFont="1" applyFill="1"/>
    <xf numFmtId="0" fontId="6" fillId="0" borderId="0" xfId="3" applyFont="1" applyFill="1" applyAlignment="1">
      <alignment wrapText="1"/>
    </xf>
    <xf numFmtId="166" fontId="6" fillId="0" borderId="0" xfId="3" applyNumberFormat="1" applyFont="1" applyFill="1"/>
    <xf numFmtId="166" fontId="6" fillId="0" borderId="0" xfId="3" applyNumberFormat="1" applyFont="1" applyFill="1" applyAlignment="1">
      <alignment vertical="center"/>
    </xf>
    <xf numFmtId="43" fontId="6" fillId="0" borderId="0" xfId="1" applyFont="1" applyFill="1"/>
    <xf numFmtId="164" fontId="6" fillId="0" borderId="0" xfId="3" applyNumberFormat="1" applyFont="1" applyFill="1"/>
    <xf numFmtId="0" fontId="7" fillId="0" borderId="0" xfId="3" applyFont="1" applyFill="1"/>
    <xf numFmtId="0" fontId="7" fillId="0" borderId="0" xfId="3" applyFont="1" applyFill="1" applyAlignment="1">
      <alignment horizontal="center"/>
    </xf>
    <xf numFmtId="0" fontId="6" fillId="0" borderId="7" xfId="3" applyFont="1" applyFill="1" applyBorder="1"/>
    <xf numFmtId="164" fontId="6" fillId="0" borderId="7" xfId="4" applyNumberFormat="1" applyFont="1" applyFill="1" applyBorder="1"/>
    <xf numFmtId="164" fontId="6" fillId="0" borderId="0" xfId="4" applyNumberFormat="1" applyFont="1" applyFill="1" applyBorder="1" applyAlignment="1">
      <alignment wrapText="1"/>
    </xf>
    <xf numFmtId="164" fontId="6" fillId="0" borderId="0" xfId="4" applyNumberFormat="1" applyFont="1" applyFill="1" applyBorder="1" applyAlignment="1">
      <alignment vertical="top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7" fillId="0" borderId="7" xfId="3" applyFont="1" applyFill="1" applyBorder="1"/>
    <xf numFmtId="0" fontId="3" fillId="0" borderId="7" xfId="0" applyFont="1" applyFill="1" applyBorder="1" applyAlignment="1">
      <alignment horizontal="left" vertical="center"/>
    </xf>
    <xf numFmtId="43" fontId="6" fillId="0" borderId="7" xfId="1" applyFont="1" applyFill="1" applyBorder="1"/>
    <xf numFmtId="164" fontId="6" fillId="0" borderId="7" xfId="3" applyNumberFormat="1" applyFont="1" applyFill="1" applyBorder="1" applyAlignment="1">
      <alignment vertical="top"/>
    </xf>
    <xf numFmtId="0" fontId="6" fillId="0" borderId="7" xfId="3" applyFont="1" applyFill="1" applyBorder="1" applyAlignment="1">
      <alignment vertical="top"/>
    </xf>
    <xf numFmtId="43" fontId="6" fillId="0" borderId="0" xfId="1" applyFont="1" applyFill="1" applyBorder="1" applyAlignment="1">
      <alignment wrapText="1"/>
    </xf>
    <xf numFmtId="167" fontId="6" fillId="0" borderId="0" xfId="3" applyNumberFormat="1" applyFont="1" applyFill="1"/>
    <xf numFmtId="0" fontId="7" fillId="0" borderId="0" xfId="3" applyFont="1" applyAlignment="1">
      <alignment horizontal="center"/>
    </xf>
    <xf numFmtId="164" fontId="6" fillId="0" borderId="0" xfId="1" applyNumberFormat="1" applyFont="1"/>
  </cellXfs>
  <cellStyles count="5">
    <cellStyle name="Comma" xfId="1" builtinId="3"/>
    <cellStyle name="Comma 5 3" xfId="4" xr:uid="{57575D41-01F2-4494-AAC0-84F8E8CEBD34}"/>
    <cellStyle name="Normal" xfId="0" builtinId="0"/>
    <cellStyle name="Normal 5 2" xfId="3" xr:uid="{105B7DD5-A068-406D-8940-DEA075D130AB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0.png"/><Relationship Id="rId21" Type="http://schemas.openxmlformats.org/officeDocument/2006/relationships/customXml" Target="../ink/ink14.xml"/><Relationship Id="rId42" Type="http://schemas.openxmlformats.org/officeDocument/2006/relationships/customXml" Target="../ink/ink31.xml"/><Relationship Id="rId47" Type="http://schemas.openxmlformats.org/officeDocument/2006/relationships/customXml" Target="../ink/ink36.xml"/><Relationship Id="rId63" Type="http://schemas.openxmlformats.org/officeDocument/2006/relationships/customXml" Target="../ink/ink50.xml"/><Relationship Id="rId68" Type="http://schemas.openxmlformats.org/officeDocument/2006/relationships/customXml" Target="../ink/ink54.xml"/><Relationship Id="rId84" Type="http://schemas.openxmlformats.org/officeDocument/2006/relationships/customXml" Target="../ink/ink68.xml"/><Relationship Id="rId89" Type="http://schemas.openxmlformats.org/officeDocument/2006/relationships/customXml" Target="../ink/ink73.xml"/><Relationship Id="rId112" Type="http://schemas.openxmlformats.org/officeDocument/2006/relationships/customXml" Target="../ink/ink96.xml"/><Relationship Id="rId16" Type="http://schemas.openxmlformats.org/officeDocument/2006/relationships/customXml" Target="../ink/ink11.xml"/><Relationship Id="rId107" Type="http://schemas.openxmlformats.org/officeDocument/2006/relationships/customXml" Target="../ink/ink91.xml"/><Relationship Id="rId11" Type="http://schemas.openxmlformats.org/officeDocument/2006/relationships/customXml" Target="../ink/ink8.xml"/><Relationship Id="rId32" Type="http://schemas.openxmlformats.org/officeDocument/2006/relationships/customXml" Target="../ink/ink23.xml"/><Relationship Id="rId37" Type="http://schemas.openxmlformats.org/officeDocument/2006/relationships/customXml" Target="../ink/ink27.xml"/><Relationship Id="rId53" Type="http://schemas.openxmlformats.org/officeDocument/2006/relationships/customXml" Target="../ink/ink41.xml"/><Relationship Id="rId58" Type="http://schemas.openxmlformats.org/officeDocument/2006/relationships/customXml" Target="../ink/ink46.xml"/><Relationship Id="rId74" Type="http://schemas.openxmlformats.org/officeDocument/2006/relationships/customXml" Target="../ink/ink58.xml"/><Relationship Id="rId79" Type="http://schemas.openxmlformats.org/officeDocument/2006/relationships/customXml" Target="../ink/ink63.xml"/><Relationship Id="rId102" Type="http://schemas.openxmlformats.org/officeDocument/2006/relationships/customXml" Target="../ink/ink86.xml"/><Relationship Id="rId5" Type="http://schemas.openxmlformats.org/officeDocument/2006/relationships/customXml" Target="../ink/ink3.xml"/><Relationship Id="rId90" Type="http://schemas.openxmlformats.org/officeDocument/2006/relationships/customXml" Target="../ink/ink74.xml"/><Relationship Id="rId95" Type="http://schemas.openxmlformats.org/officeDocument/2006/relationships/customXml" Target="../ink/ink79.xml"/><Relationship Id="rId22" Type="http://schemas.openxmlformats.org/officeDocument/2006/relationships/customXml" Target="../ink/ink15.xml"/><Relationship Id="rId27" Type="http://schemas.openxmlformats.org/officeDocument/2006/relationships/customXml" Target="../ink/ink19.xml"/><Relationship Id="rId43" Type="http://schemas.openxmlformats.org/officeDocument/2006/relationships/customXml" Target="../ink/ink32.xml"/><Relationship Id="rId48" Type="http://schemas.openxmlformats.org/officeDocument/2006/relationships/image" Target="../media/image14.png"/><Relationship Id="rId64" Type="http://schemas.openxmlformats.org/officeDocument/2006/relationships/customXml" Target="../ink/ink51.xml"/><Relationship Id="rId69" Type="http://schemas.openxmlformats.org/officeDocument/2006/relationships/image" Target="../media/image16.png"/><Relationship Id="rId80" Type="http://schemas.openxmlformats.org/officeDocument/2006/relationships/customXml" Target="../ink/ink64.xml"/><Relationship Id="rId85" Type="http://schemas.openxmlformats.org/officeDocument/2006/relationships/customXml" Target="../ink/ink69.xml"/><Relationship Id="rId12" Type="http://schemas.openxmlformats.org/officeDocument/2006/relationships/image" Target="../media/image6.png"/><Relationship Id="rId17" Type="http://schemas.openxmlformats.org/officeDocument/2006/relationships/image" Target="../media/image8.png"/><Relationship Id="rId33" Type="http://schemas.openxmlformats.org/officeDocument/2006/relationships/customXml" Target="../ink/ink24.xml"/><Relationship Id="rId38" Type="http://schemas.openxmlformats.org/officeDocument/2006/relationships/image" Target="../media/image13.png"/><Relationship Id="rId59" Type="http://schemas.openxmlformats.org/officeDocument/2006/relationships/customXml" Target="../ink/ink47.xml"/><Relationship Id="rId103" Type="http://schemas.openxmlformats.org/officeDocument/2006/relationships/customXml" Target="../ink/ink87.xml"/><Relationship Id="rId108" Type="http://schemas.openxmlformats.org/officeDocument/2006/relationships/customXml" Target="../ink/ink92.xml"/><Relationship Id="rId54" Type="http://schemas.openxmlformats.org/officeDocument/2006/relationships/customXml" Target="../ink/ink42.xml"/><Relationship Id="rId70" Type="http://schemas.openxmlformats.org/officeDocument/2006/relationships/customXml" Target="../ink/ink55.xml"/><Relationship Id="rId75" Type="http://schemas.openxmlformats.org/officeDocument/2006/relationships/customXml" Target="../ink/ink59.xml"/><Relationship Id="rId91" Type="http://schemas.openxmlformats.org/officeDocument/2006/relationships/customXml" Target="../ink/ink75.xml"/><Relationship Id="rId96" Type="http://schemas.openxmlformats.org/officeDocument/2006/relationships/customXml" Target="../ink/ink80.xml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5" Type="http://schemas.openxmlformats.org/officeDocument/2006/relationships/customXml" Target="../ink/ink10.xml"/><Relationship Id="rId23" Type="http://schemas.openxmlformats.org/officeDocument/2006/relationships/customXml" Target="../ink/ink16.xml"/><Relationship Id="rId28" Type="http://schemas.openxmlformats.org/officeDocument/2006/relationships/customXml" Target="../ink/ink20.xml"/><Relationship Id="rId36" Type="http://schemas.openxmlformats.org/officeDocument/2006/relationships/customXml" Target="../ink/ink26.xml"/><Relationship Id="rId49" Type="http://schemas.openxmlformats.org/officeDocument/2006/relationships/customXml" Target="../ink/ink37.xml"/><Relationship Id="rId57" Type="http://schemas.openxmlformats.org/officeDocument/2006/relationships/customXml" Target="../ink/ink45.xml"/><Relationship Id="rId106" Type="http://schemas.openxmlformats.org/officeDocument/2006/relationships/customXml" Target="../ink/ink90.xml"/><Relationship Id="rId10" Type="http://schemas.openxmlformats.org/officeDocument/2006/relationships/customXml" Target="../ink/ink7.xml"/><Relationship Id="rId31" Type="http://schemas.openxmlformats.org/officeDocument/2006/relationships/image" Target="../media/image11.png"/><Relationship Id="rId44" Type="http://schemas.openxmlformats.org/officeDocument/2006/relationships/customXml" Target="../ink/ink33.xml"/><Relationship Id="rId52" Type="http://schemas.openxmlformats.org/officeDocument/2006/relationships/customXml" Target="../ink/ink40.xml"/><Relationship Id="rId60" Type="http://schemas.openxmlformats.org/officeDocument/2006/relationships/customXml" Target="../ink/ink48.xml"/><Relationship Id="rId65" Type="http://schemas.openxmlformats.org/officeDocument/2006/relationships/image" Target="../media/image19.png"/><Relationship Id="rId73" Type="http://schemas.openxmlformats.org/officeDocument/2006/relationships/customXml" Target="../ink/ink57.xml"/><Relationship Id="rId78" Type="http://schemas.openxmlformats.org/officeDocument/2006/relationships/customXml" Target="../ink/ink62.xml"/><Relationship Id="rId81" Type="http://schemas.openxmlformats.org/officeDocument/2006/relationships/customXml" Target="../ink/ink65.xml"/><Relationship Id="rId86" Type="http://schemas.openxmlformats.org/officeDocument/2006/relationships/customXml" Target="../ink/ink70.xml"/><Relationship Id="rId94" Type="http://schemas.openxmlformats.org/officeDocument/2006/relationships/customXml" Target="../ink/ink78.xml"/><Relationship Id="rId99" Type="http://schemas.openxmlformats.org/officeDocument/2006/relationships/customXml" Target="../ink/ink83.xml"/><Relationship Id="rId101" Type="http://schemas.openxmlformats.org/officeDocument/2006/relationships/customXml" Target="../ink/ink85.xml"/><Relationship Id="rId4" Type="http://schemas.openxmlformats.org/officeDocument/2006/relationships/image" Target="../media/image4.png"/><Relationship Id="rId9" Type="http://schemas.openxmlformats.org/officeDocument/2006/relationships/customXml" Target="../ink/ink6.xml"/><Relationship Id="rId13" Type="http://schemas.openxmlformats.org/officeDocument/2006/relationships/customXml" Target="../ink/ink9.xml"/><Relationship Id="rId18" Type="http://schemas.openxmlformats.org/officeDocument/2006/relationships/customXml" Target="../ink/ink12.xml"/><Relationship Id="rId39" Type="http://schemas.openxmlformats.org/officeDocument/2006/relationships/customXml" Target="../ink/ink28.xml"/><Relationship Id="rId109" Type="http://schemas.openxmlformats.org/officeDocument/2006/relationships/customXml" Target="../ink/ink93.xml"/><Relationship Id="rId34" Type="http://schemas.openxmlformats.org/officeDocument/2006/relationships/customXml" Target="../ink/ink25.xml"/><Relationship Id="rId50" Type="http://schemas.openxmlformats.org/officeDocument/2006/relationships/customXml" Target="../ink/ink38.xml"/><Relationship Id="rId55" Type="http://schemas.openxmlformats.org/officeDocument/2006/relationships/customXml" Target="../ink/ink43.xml"/><Relationship Id="rId76" Type="http://schemas.openxmlformats.org/officeDocument/2006/relationships/customXml" Target="../ink/ink60.xml"/><Relationship Id="rId97" Type="http://schemas.openxmlformats.org/officeDocument/2006/relationships/customXml" Target="../ink/ink81.xml"/><Relationship Id="rId104" Type="http://schemas.openxmlformats.org/officeDocument/2006/relationships/customXml" Target="../ink/ink88.xml"/><Relationship Id="rId7" Type="http://schemas.openxmlformats.org/officeDocument/2006/relationships/customXml" Target="../ink/ink5.xml"/><Relationship Id="rId71" Type="http://schemas.openxmlformats.org/officeDocument/2006/relationships/image" Target="../media/image17.png"/><Relationship Id="rId92" Type="http://schemas.openxmlformats.org/officeDocument/2006/relationships/customXml" Target="../ink/ink76.xml"/><Relationship Id="rId2" Type="http://schemas.openxmlformats.org/officeDocument/2006/relationships/image" Target="../media/image3.png"/><Relationship Id="rId29" Type="http://schemas.openxmlformats.org/officeDocument/2006/relationships/customXml" Target="../ink/ink21.xml"/><Relationship Id="rId24" Type="http://schemas.openxmlformats.org/officeDocument/2006/relationships/customXml" Target="../ink/ink17.xml"/><Relationship Id="rId40" Type="http://schemas.openxmlformats.org/officeDocument/2006/relationships/customXml" Target="../ink/ink29.xml"/><Relationship Id="rId45" Type="http://schemas.openxmlformats.org/officeDocument/2006/relationships/customXml" Target="../ink/ink34.xml"/><Relationship Id="rId66" Type="http://schemas.openxmlformats.org/officeDocument/2006/relationships/customXml" Target="../ink/ink52.xml"/><Relationship Id="rId87" Type="http://schemas.openxmlformats.org/officeDocument/2006/relationships/customXml" Target="../ink/ink71.xml"/><Relationship Id="rId110" Type="http://schemas.openxmlformats.org/officeDocument/2006/relationships/customXml" Target="../ink/ink94.xml"/><Relationship Id="rId61" Type="http://schemas.openxmlformats.org/officeDocument/2006/relationships/customXml" Target="../ink/ink49.xml"/><Relationship Id="rId82" Type="http://schemas.openxmlformats.org/officeDocument/2006/relationships/customXml" Target="../ink/ink66.xml"/><Relationship Id="rId19" Type="http://schemas.openxmlformats.org/officeDocument/2006/relationships/image" Target="../media/image9.png"/><Relationship Id="rId14" Type="http://schemas.openxmlformats.org/officeDocument/2006/relationships/image" Target="../media/image7.png"/><Relationship Id="rId30" Type="http://schemas.openxmlformats.org/officeDocument/2006/relationships/customXml" Target="../ink/ink22.xml"/><Relationship Id="rId35" Type="http://schemas.openxmlformats.org/officeDocument/2006/relationships/image" Target="../media/image12.png"/><Relationship Id="rId56" Type="http://schemas.openxmlformats.org/officeDocument/2006/relationships/customXml" Target="../ink/ink44.xml"/><Relationship Id="rId77" Type="http://schemas.openxmlformats.org/officeDocument/2006/relationships/customXml" Target="../ink/ink61.xml"/><Relationship Id="rId100" Type="http://schemas.openxmlformats.org/officeDocument/2006/relationships/customXml" Target="../ink/ink84.xml"/><Relationship Id="rId105" Type="http://schemas.openxmlformats.org/officeDocument/2006/relationships/customXml" Target="../ink/ink89.xml"/><Relationship Id="rId8" Type="http://schemas.openxmlformats.org/officeDocument/2006/relationships/image" Target="../media/image5.png"/><Relationship Id="rId51" Type="http://schemas.openxmlformats.org/officeDocument/2006/relationships/customXml" Target="../ink/ink39.xml"/><Relationship Id="rId72" Type="http://schemas.openxmlformats.org/officeDocument/2006/relationships/customXml" Target="../ink/ink56.xml"/><Relationship Id="rId93" Type="http://schemas.openxmlformats.org/officeDocument/2006/relationships/customXml" Target="../ink/ink77.xml"/><Relationship Id="rId98" Type="http://schemas.openxmlformats.org/officeDocument/2006/relationships/customXml" Target="../ink/ink82.xml"/><Relationship Id="rId3" Type="http://schemas.openxmlformats.org/officeDocument/2006/relationships/customXml" Target="../ink/ink2.xml"/><Relationship Id="rId25" Type="http://schemas.openxmlformats.org/officeDocument/2006/relationships/customXml" Target="../ink/ink18.xml"/><Relationship Id="rId46" Type="http://schemas.openxmlformats.org/officeDocument/2006/relationships/customXml" Target="../ink/ink35.xml"/><Relationship Id="rId67" Type="http://schemas.openxmlformats.org/officeDocument/2006/relationships/customXml" Target="../ink/ink53.xml"/><Relationship Id="rId20" Type="http://schemas.openxmlformats.org/officeDocument/2006/relationships/customXml" Target="../ink/ink13.xml"/><Relationship Id="rId41" Type="http://schemas.openxmlformats.org/officeDocument/2006/relationships/customXml" Target="../ink/ink30.xml"/><Relationship Id="rId62" Type="http://schemas.openxmlformats.org/officeDocument/2006/relationships/image" Target="../media/image15.png"/><Relationship Id="rId83" Type="http://schemas.openxmlformats.org/officeDocument/2006/relationships/customXml" Target="../ink/ink67.xml"/><Relationship Id="rId88" Type="http://schemas.openxmlformats.org/officeDocument/2006/relationships/customXml" Target="../ink/ink72.xml"/><Relationship Id="rId111" Type="http://schemas.openxmlformats.org/officeDocument/2006/relationships/customXml" Target="../ink/ink9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689880</xdr:colOff>
      <xdr:row>69</xdr:row>
      <xdr:rowOff>0</xdr:rowOff>
    </xdr:from>
    <xdr:to>
      <xdr:col>11</xdr:col>
      <xdr:colOff>773040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F2F7805B-045F-44A1-B834-D7A5233E4B00}"/>
                </a:ext>
              </a:extLst>
            </xdr14:cNvPr>
            <xdr14:cNvContentPartPr/>
          </xdr14:nvContentPartPr>
          <xdr14:nvPr macro=""/>
          <xdr14:xfrm>
            <a:off x="30230080" y="21114640"/>
            <a:ext cx="83160" cy="972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4D3C54F-FA98-C877-80C8-0B55198D49C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0221440" y="21106000"/>
              <a:ext cx="100800" cy="273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0</xdr:colOff>
      <xdr:row>69</xdr:row>
      <xdr:rowOff>0</xdr:rowOff>
    </xdr:from>
    <xdr:to>
      <xdr:col>22</xdr:col>
      <xdr:colOff>360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4EFD3D20-AE65-4A45-81BC-A8123BEACDDE}"/>
                </a:ext>
              </a:extLst>
            </xdr14:cNvPr>
            <xdr14:cNvContentPartPr/>
          </xdr14:nvContentPartPr>
          <xdr14:nvPr macro=""/>
          <xdr14:xfrm>
            <a:off x="58716960" y="1970766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11BD661-17C9-95A3-34A4-D8DE5F96949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58707960" y="196986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3025680</xdr:colOff>
      <xdr:row>51</xdr:row>
      <xdr:rowOff>0</xdr:rowOff>
    </xdr:from>
    <xdr:to>
      <xdr:col>1</xdr:col>
      <xdr:colOff>3028760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2797A9B-CFCB-4F3F-9D90-E3FA74C0150B}"/>
                </a:ext>
              </a:extLst>
            </xdr14:cNvPr>
            <xdr14:cNvContentPartPr/>
          </xdr14:nvContentPartPr>
          <xdr14:nvPr macro=""/>
          <xdr14:xfrm>
            <a:off x="4549680" y="329644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FA31573C-6E95-17F2-9181-B2DEFBF0EFA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541040" y="32874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489635</xdr:colOff>
      <xdr:row>36</xdr:row>
      <xdr:rowOff>0</xdr:rowOff>
    </xdr:from>
    <xdr:to>
      <xdr:col>18</xdr:col>
      <xdr:colOff>489995</xdr:colOff>
      <xdr:row>36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1FA8B782-6780-46AD-B704-5DFD27595231}"/>
                </a:ext>
              </a:extLst>
            </xdr14:cNvPr>
            <xdr14:cNvContentPartPr/>
          </xdr14:nvContentPartPr>
          <xdr14:nvPr macro=""/>
          <xdr14:xfrm>
            <a:off x="48187206" y="3104646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CC34AC4E-F7A6-C20E-F348-1384AAA39B96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8178206" y="3096006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290915</xdr:colOff>
      <xdr:row>51</xdr:row>
      <xdr:rowOff>0</xdr:rowOff>
    </xdr:from>
    <xdr:to>
      <xdr:col>18</xdr:col>
      <xdr:colOff>355715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8C911033-49FD-4AC0-B5D7-72E4D145AB79}"/>
                </a:ext>
              </a:extLst>
            </xdr14:cNvPr>
            <xdr14:cNvContentPartPr/>
          </xdr14:nvContentPartPr>
          <xdr14:nvPr macro=""/>
          <xdr14:xfrm>
            <a:off x="47988486" y="3829326"/>
            <a:ext cx="64800" cy="108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18389FB4-749B-7647-C4C9-FD7F9DCEA015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7979846" y="3820686"/>
              <a:ext cx="82440" cy="18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</xdr:col>
      <xdr:colOff>893213</xdr:colOff>
      <xdr:row>112</xdr:row>
      <xdr:rowOff>124204</xdr:rowOff>
    </xdr:from>
    <xdr:to>
      <xdr:col>16</xdr:col>
      <xdr:colOff>893573</xdr:colOff>
      <xdr:row>112</xdr:row>
      <xdr:rowOff>124564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C529B46-297A-4839-BC2D-1B4974A63AF0}"/>
                </a:ext>
              </a:extLst>
            </xdr14:cNvPr>
            <xdr14:cNvContentPartPr/>
          </xdr14:nvContentPartPr>
          <xdr14:nvPr macro=""/>
          <xdr14:xfrm>
            <a:off x="42348130" y="350028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56925443-D7E8-CD56-AF65-2627FC6D1C8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2339130" y="349128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</xdr:col>
      <xdr:colOff>23093</xdr:colOff>
      <xdr:row>111</xdr:row>
      <xdr:rowOff>73360</xdr:rowOff>
    </xdr:from>
    <xdr:to>
      <xdr:col>16</xdr:col>
      <xdr:colOff>23453</xdr:colOff>
      <xdr:row>111</xdr:row>
      <xdr:rowOff>73720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AB5F7E2-EC39-458E-85D4-2E277488F1A7}"/>
                </a:ext>
              </a:extLst>
            </xdr14:cNvPr>
            <xdr14:cNvContentPartPr/>
          </xdr14:nvContentPartPr>
          <xdr14:nvPr macro=""/>
          <xdr14:xfrm>
            <a:off x="41478010" y="3269527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BAF7CE2B-2957-95DA-CAF3-1926B6FC597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41469010" y="326088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392020</xdr:colOff>
      <xdr:row>51</xdr:row>
      <xdr:rowOff>0</xdr:rowOff>
    </xdr:from>
    <xdr:to>
      <xdr:col>10</xdr:col>
      <xdr:colOff>392380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58FC8EA9-9354-4EF0-A379-D550857D6E78}"/>
                </a:ext>
              </a:extLst>
            </xdr14:cNvPr>
            <xdr14:cNvContentPartPr/>
          </xdr14:nvContentPartPr>
          <xdr14:nvPr macro=""/>
          <xdr14:xfrm>
            <a:off x="25432187" y="20904967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B88112E9-735E-3F8C-07A3-D217C7070C2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5423187" y="208963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1199694</xdr:colOff>
      <xdr:row>82</xdr:row>
      <xdr:rowOff>116294</xdr:rowOff>
    </xdr:from>
    <xdr:to>
      <xdr:col>8</xdr:col>
      <xdr:colOff>847518</xdr:colOff>
      <xdr:row>85</xdr:row>
      <xdr:rowOff>47037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7E7C69F2-C838-4059-99D0-7AD9AA44A138}"/>
                </a:ext>
              </a:extLst>
            </xdr14:cNvPr>
            <xdr14:cNvContentPartPr/>
          </xdr14:nvContentPartPr>
          <xdr14:nvPr macro=""/>
          <xdr14:xfrm>
            <a:off x="23594027" y="21177127"/>
            <a:ext cx="856440" cy="2757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DAF1AA65-5634-2B44-7BDB-51717E113C70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23585387" y="21168127"/>
              <a:ext cx="874080" cy="293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795580</xdr:colOff>
      <xdr:row>69</xdr:row>
      <xdr:rowOff>0</xdr:rowOff>
    </xdr:from>
    <xdr:to>
      <xdr:col>10</xdr:col>
      <xdr:colOff>795940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93BDE97E-17AF-4D29-A889-1340E069972D}"/>
                </a:ext>
              </a:extLst>
            </xdr14:cNvPr>
            <xdr14:cNvContentPartPr/>
          </xdr14:nvContentPartPr>
          <xdr14:nvPr macro=""/>
          <xdr14:xfrm>
            <a:off x="25835747" y="21394567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6602611D-4CBE-A3FD-FA7C-08E6EE0A214C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5827107" y="2138556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201120</xdr:colOff>
      <xdr:row>110</xdr:row>
      <xdr:rowOff>168843</xdr:rowOff>
    </xdr:from>
    <xdr:to>
      <xdr:col>10</xdr:col>
      <xdr:colOff>215880</xdr:colOff>
      <xdr:row>110</xdr:row>
      <xdr:rowOff>162853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B4E7AAB7-9660-46A9-BB12-A11F6686FD30}"/>
                </a:ext>
              </a:extLst>
            </xdr14:cNvPr>
            <xdr14:cNvContentPartPr/>
          </xdr14:nvContentPartPr>
          <xdr14:nvPr macro=""/>
          <xdr14:xfrm>
            <a:off x="24796787" y="4677343"/>
            <a:ext cx="147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EA5AF53D-C755-3C87-C7C6-927C36653041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24788147" y="4668343"/>
              <a:ext cx="324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625134</xdr:colOff>
      <xdr:row>110</xdr:row>
      <xdr:rowOff>166683</xdr:rowOff>
    </xdr:from>
    <xdr:to>
      <xdr:col>9</xdr:col>
      <xdr:colOff>252061</xdr:colOff>
      <xdr:row>111</xdr:row>
      <xdr:rowOff>110446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2A5CDF3D-F5B1-44DE-970F-D19C6687E030}"/>
                </a:ext>
              </a:extLst>
            </xdr14:cNvPr>
            <xdr14:cNvContentPartPr/>
          </xdr14:nvContentPartPr>
          <xdr14:nvPr macro=""/>
          <xdr14:xfrm>
            <a:off x="23019467" y="4675183"/>
            <a:ext cx="1485360" cy="9828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E67944DB-4E9E-EF38-FA3B-2AE9BD043A4A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23010467" y="4666543"/>
              <a:ext cx="1503000" cy="115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273413</xdr:colOff>
      <xdr:row>105</xdr:row>
      <xdr:rowOff>98946</xdr:rowOff>
    </xdr:from>
    <xdr:to>
      <xdr:col>14</xdr:col>
      <xdr:colOff>273773</xdr:colOff>
      <xdr:row>105</xdr:row>
      <xdr:rowOff>99306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0DF4770C-FEAF-4DFB-9E35-8A84D1363688}"/>
                </a:ext>
              </a:extLst>
            </xdr14:cNvPr>
            <xdr14:cNvContentPartPr/>
          </xdr14:nvContentPartPr>
          <xdr14:nvPr macro=""/>
          <xdr14:xfrm>
            <a:off x="28816663" y="3707863"/>
            <a:ext cx="360" cy="36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D2841860-2C43-F9B8-ABF7-E14C570B7A9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8808023" y="369886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101620</xdr:colOff>
      <xdr:row>69</xdr:row>
      <xdr:rowOff>0</xdr:rowOff>
    </xdr:from>
    <xdr:to>
      <xdr:col>7</xdr:col>
      <xdr:colOff>101980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D5AA28A1-5BBF-474D-8050-785B669923B3}"/>
                </a:ext>
              </a:extLst>
            </xdr14:cNvPr>
            <xdr14:cNvContentPartPr/>
          </xdr14:nvContentPartPr>
          <xdr14:nvPr macro=""/>
          <xdr14:xfrm>
            <a:off x="22495953" y="2845370"/>
            <a:ext cx="360" cy="360"/>
          </xdr14:xfrm>
        </xdr:contentPart>
      </mc:Choice>
      <mc:Fallback xmlns="">
        <xdr:pic>
          <xdr:nvPicPr>
            <xdr:cNvPr id="15" name="Ink 14">
              <a:extLst>
                <a:ext uri="{FF2B5EF4-FFF2-40B4-BE49-F238E27FC236}">
                  <a16:creationId xmlns:a16="http://schemas.microsoft.com/office/drawing/2014/main" id="{5538385E-6830-66D3-D71A-981E8F62C133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2487313" y="283637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814273</xdr:colOff>
      <xdr:row>51</xdr:row>
      <xdr:rowOff>0</xdr:rowOff>
    </xdr:from>
    <xdr:to>
      <xdr:col>12</xdr:col>
      <xdr:colOff>814633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8BB38494-2190-416D-840A-98B8E6181749}"/>
                </a:ext>
              </a:extLst>
            </xdr14:cNvPr>
            <xdr14:cNvContentPartPr/>
          </xdr14:nvContentPartPr>
          <xdr14:nvPr macro=""/>
          <xdr14:xfrm>
            <a:off x="28309773" y="4123740"/>
            <a:ext cx="360" cy="360"/>
          </xdr14:xfrm>
        </xdr:contentPart>
      </mc:Choice>
      <mc:Fallback xmlns="">
        <xdr:pic>
          <xdr:nvPicPr>
            <xdr:cNvPr id="16" name="Ink 15">
              <a:extLst>
                <a:ext uri="{FF2B5EF4-FFF2-40B4-BE49-F238E27FC236}">
                  <a16:creationId xmlns:a16="http://schemas.microsoft.com/office/drawing/2014/main" id="{24A29F6D-42DA-EEF6-2425-F213F3F5C675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8301133" y="41147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217063</xdr:colOff>
      <xdr:row>51</xdr:row>
      <xdr:rowOff>0</xdr:rowOff>
    </xdr:from>
    <xdr:to>
      <xdr:col>12</xdr:col>
      <xdr:colOff>217423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69E09A9D-701E-4DBA-81E3-D841D35ED2F7}"/>
                </a:ext>
              </a:extLst>
            </xdr14:cNvPr>
            <xdr14:cNvContentPartPr/>
          </xdr14:nvContentPartPr>
          <xdr14:nvPr macro=""/>
          <xdr14:xfrm>
            <a:off x="27712563" y="4738190"/>
            <a:ext cx="360" cy="360"/>
          </xdr14:xfrm>
        </xdr:contentPart>
      </mc:Choice>
      <mc:Fallback xmlns="">
        <xdr:pic>
          <xdr:nvPicPr>
            <xdr:cNvPr id="17" name="Ink 16">
              <a:extLst>
                <a:ext uri="{FF2B5EF4-FFF2-40B4-BE49-F238E27FC236}">
                  <a16:creationId xmlns:a16="http://schemas.microsoft.com/office/drawing/2014/main" id="{3658DF59-D19B-CFDE-B07E-F5E9E0EE28C0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7703563" y="47295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510990</xdr:colOff>
      <xdr:row>51</xdr:row>
      <xdr:rowOff>0</xdr:rowOff>
    </xdr:from>
    <xdr:to>
      <xdr:col>8</xdr:col>
      <xdr:colOff>511350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861C2A27-1550-418F-9482-EBCD020DDD0B}"/>
                </a:ext>
              </a:extLst>
            </xdr14:cNvPr>
            <xdr14:cNvContentPartPr/>
          </xdr14:nvContentPartPr>
          <xdr14:nvPr macro=""/>
          <xdr14:xfrm>
            <a:off x="23783740" y="3682663"/>
            <a:ext cx="360" cy="360"/>
          </xdr14:xfrm>
        </xdr:contentPart>
      </mc:Choice>
      <mc:Fallback xmlns="">
        <xdr:pic>
          <xdr:nvPicPr>
            <xdr:cNvPr id="18" name="Ink 17">
              <a:extLst>
                <a:ext uri="{FF2B5EF4-FFF2-40B4-BE49-F238E27FC236}">
                  <a16:creationId xmlns:a16="http://schemas.microsoft.com/office/drawing/2014/main" id="{7B72ABBA-6ED6-20DE-3ACD-7671588D210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774740" y="367402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110653</xdr:colOff>
      <xdr:row>43</xdr:row>
      <xdr:rowOff>333480</xdr:rowOff>
    </xdr:from>
    <xdr:to>
      <xdr:col>9</xdr:col>
      <xdr:colOff>1174453</xdr:colOff>
      <xdr:row>46</xdr:row>
      <xdr:rowOff>16347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863398F1-B785-441B-8ADF-A09D33410C60}"/>
                </a:ext>
              </a:extLst>
            </xdr14:cNvPr>
            <xdr14:cNvContentPartPr/>
          </xdr14:nvContentPartPr>
          <xdr14:nvPr macro=""/>
          <xdr14:xfrm>
            <a:off x="24261820" y="3265063"/>
            <a:ext cx="1063800" cy="334800"/>
          </xdr14:xfrm>
        </xdr:contentPart>
      </mc:Choice>
      <mc:Fallback xmlns="">
        <xdr:pic>
          <xdr:nvPicPr>
            <xdr:cNvPr id="19" name="Ink 18">
              <a:extLst>
                <a:ext uri="{FF2B5EF4-FFF2-40B4-BE49-F238E27FC236}">
                  <a16:creationId xmlns:a16="http://schemas.microsoft.com/office/drawing/2014/main" id="{12E80EC8-320E-72C4-DC7C-CAAAFE3EEF17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24252820" y="3256063"/>
              <a:ext cx="1081440" cy="352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990770</xdr:colOff>
      <xdr:row>51</xdr:row>
      <xdr:rowOff>0</xdr:rowOff>
    </xdr:from>
    <xdr:to>
      <xdr:col>10</xdr:col>
      <xdr:colOff>991130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BE6F3817-5174-4EBE-A7DE-8EC939858415}"/>
                </a:ext>
              </a:extLst>
            </xdr14:cNvPr>
            <xdr14:cNvContentPartPr/>
          </xdr14:nvContentPartPr>
          <xdr14:nvPr macro=""/>
          <xdr14:xfrm>
            <a:off x="26464853" y="5132330"/>
            <a:ext cx="360" cy="360"/>
          </xdr14:xfrm>
        </xdr:contentPart>
      </mc:Choice>
      <mc:Fallback xmlns="">
        <xdr:pic>
          <xdr:nvPicPr>
            <xdr:cNvPr id="20" name="Ink 19">
              <a:extLst>
                <a:ext uri="{FF2B5EF4-FFF2-40B4-BE49-F238E27FC236}">
                  <a16:creationId xmlns:a16="http://schemas.microsoft.com/office/drawing/2014/main" id="{ACFFC389-3492-A8B9-EAF7-2909B9A9C71C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6455853" y="512369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0</xdr:colOff>
      <xdr:row>51</xdr:row>
      <xdr:rowOff>0</xdr:rowOff>
    </xdr:from>
    <xdr:to>
      <xdr:col>15</xdr:col>
      <xdr:colOff>360</xdr:colOff>
      <xdr:row>51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412897E2-C2CA-4E60-B6F2-ECDDCF132F32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id="{CB6E953F-D35A-8A97-10A4-16345A3C4F2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274737</xdr:colOff>
      <xdr:row>108</xdr:row>
      <xdr:rowOff>82274</xdr:rowOff>
    </xdr:from>
    <xdr:to>
      <xdr:col>13</xdr:col>
      <xdr:colOff>275097</xdr:colOff>
      <xdr:row>108</xdr:row>
      <xdr:rowOff>82634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C5F5DAB1-071F-4AD5-90C2-9EEA8266E552}"/>
                </a:ext>
              </a:extLst>
            </xdr14:cNvPr>
            <xdr14:cNvContentPartPr/>
          </xdr14:nvContentPartPr>
          <xdr14:nvPr macro=""/>
          <xdr14:xfrm>
            <a:off x="28733320" y="4188607"/>
            <a:ext cx="360" cy="360"/>
          </xdr14:xfrm>
        </xdr:contentPart>
      </mc:Choice>
      <mc:Fallback xmlns="">
        <xdr:pic>
          <xdr:nvPicPr>
            <xdr:cNvPr id="22" name="Ink 21">
              <a:extLst>
                <a:ext uri="{FF2B5EF4-FFF2-40B4-BE49-F238E27FC236}">
                  <a16:creationId xmlns:a16="http://schemas.microsoft.com/office/drawing/2014/main" id="{14C73682-60A6-A770-A5C7-26F98BE87928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8724320" y="4179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799977</xdr:colOff>
      <xdr:row>107</xdr:row>
      <xdr:rowOff>147710</xdr:rowOff>
    </xdr:from>
    <xdr:to>
      <xdr:col>13</xdr:col>
      <xdr:colOff>809697</xdr:colOff>
      <xdr:row>107</xdr:row>
      <xdr:rowOff>153830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FB24D55F-C2DF-4859-A4F5-C8AE48CF6C02}"/>
                </a:ext>
              </a:extLst>
            </xdr14:cNvPr>
            <xdr14:cNvContentPartPr/>
          </xdr14:nvContentPartPr>
          <xdr14:nvPr macro=""/>
          <xdr14:xfrm>
            <a:off x="29258560" y="4074127"/>
            <a:ext cx="9720" cy="6120"/>
          </xdr14:xfrm>
        </xdr:contentPart>
      </mc:Choice>
      <mc:Fallback xmlns="">
        <xdr:pic>
          <xdr:nvPicPr>
            <xdr:cNvPr id="23" name="Ink 22">
              <a:extLst>
                <a:ext uri="{FF2B5EF4-FFF2-40B4-BE49-F238E27FC236}">
                  <a16:creationId xmlns:a16="http://schemas.microsoft.com/office/drawing/2014/main" id="{414B4A97-4370-0111-EC70-FA5C61E2647F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29249920" y="4065487"/>
              <a:ext cx="27360" cy="23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668930</xdr:colOff>
      <xdr:row>100</xdr:row>
      <xdr:rowOff>0</xdr:rowOff>
    </xdr:from>
    <xdr:to>
      <xdr:col>10</xdr:col>
      <xdr:colOff>669290</xdr:colOff>
      <xdr:row>100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F034E69E-DF6C-409D-A48D-C1388656974F}"/>
                </a:ext>
              </a:extLst>
            </xdr14:cNvPr>
            <xdr14:cNvContentPartPr/>
          </xdr14:nvContentPartPr>
          <xdr14:nvPr macro=""/>
          <xdr14:xfrm>
            <a:off x="26143013" y="3111847"/>
            <a:ext cx="360" cy="360"/>
          </xdr14:xfrm>
        </xdr:contentPart>
      </mc:Choice>
      <mc:Fallback xmlns="">
        <xdr:pic>
          <xdr:nvPicPr>
            <xdr:cNvPr id="24" name="Ink 23">
              <a:extLst>
                <a:ext uri="{FF2B5EF4-FFF2-40B4-BE49-F238E27FC236}">
                  <a16:creationId xmlns:a16="http://schemas.microsoft.com/office/drawing/2014/main" id="{71FAB2B5-4AC5-53CC-5A33-AB630025FF7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6134373" y="31032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414343</xdr:colOff>
      <xdr:row>100</xdr:row>
      <xdr:rowOff>0</xdr:rowOff>
    </xdr:from>
    <xdr:to>
      <xdr:col>8</xdr:col>
      <xdr:colOff>414703</xdr:colOff>
      <xdr:row>100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C218C591-FE88-4948-9E8D-38B01774E291}"/>
                </a:ext>
              </a:extLst>
            </xdr14:cNvPr>
            <xdr14:cNvContentPartPr/>
          </xdr14:nvContentPartPr>
          <xdr14:nvPr macro=""/>
          <xdr14:xfrm>
            <a:off x="23687093" y="3355567"/>
            <a:ext cx="360" cy="360"/>
          </xdr14:xfrm>
        </xdr:contentPart>
      </mc:Choice>
      <mc:Fallback xmlns="">
        <xdr:pic>
          <xdr:nvPicPr>
            <xdr:cNvPr id="25" name="Ink 24">
              <a:extLst>
                <a:ext uri="{FF2B5EF4-FFF2-40B4-BE49-F238E27FC236}">
                  <a16:creationId xmlns:a16="http://schemas.microsoft.com/office/drawing/2014/main" id="{6B1E8F37-3621-2087-CB7F-29CEB17E422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678453" y="33469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526286</xdr:colOff>
      <xdr:row>104</xdr:row>
      <xdr:rowOff>65380</xdr:rowOff>
    </xdr:from>
    <xdr:to>
      <xdr:col>9</xdr:col>
      <xdr:colOff>1199846</xdr:colOff>
      <xdr:row>104</xdr:row>
      <xdr:rowOff>83380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A4E5E31A-7B9B-4D2D-AC09-014260B80380}"/>
                </a:ext>
              </a:extLst>
            </xdr14:cNvPr>
            <xdr14:cNvContentPartPr/>
          </xdr14:nvContentPartPr>
          <xdr14:nvPr macro=""/>
          <xdr14:xfrm>
            <a:off x="24677453" y="3452047"/>
            <a:ext cx="673560" cy="18000"/>
          </xdr14:xfrm>
        </xdr:contentPart>
      </mc:Choice>
      <mc:Fallback xmlns="">
        <xdr:pic>
          <xdr:nvPicPr>
            <xdr:cNvPr id="26" name="Ink 25">
              <a:extLst>
                <a:ext uri="{FF2B5EF4-FFF2-40B4-BE49-F238E27FC236}">
                  <a16:creationId xmlns:a16="http://schemas.microsoft.com/office/drawing/2014/main" id="{F1D39925-1DDC-A6F6-656E-FAA8217F582A}"/>
                </a:ext>
              </a:extLst>
            </xdr:cNvPr>
            <xdr:cNvPicPr/>
          </xdr:nvPicPr>
          <xdr:blipFill>
            <a:blip xmlns:r="http://schemas.openxmlformats.org/officeDocument/2006/relationships" r:embed="rId35"/>
            <a:stretch>
              <a:fillRect/>
            </a:stretch>
          </xdr:blipFill>
          <xdr:spPr>
            <a:xfrm>
              <a:off x="24668453" y="3443407"/>
              <a:ext cx="691200" cy="35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593850</xdr:colOff>
      <xdr:row>105</xdr:row>
      <xdr:rowOff>154384</xdr:rowOff>
    </xdr:from>
    <xdr:to>
      <xdr:col>9</xdr:col>
      <xdr:colOff>594210</xdr:colOff>
      <xdr:row>105</xdr:row>
      <xdr:rowOff>154744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B100016B-BCD4-4195-B5B9-24457B19E0E0}"/>
                </a:ext>
              </a:extLst>
            </xdr14:cNvPr>
            <xdr14:cNvContentPartPr/>
          </xdr14:nvContentPartPr>
          <xdr14:nvPr macro=""/>
          <xdr14:xfrm>
            <a:off x="24745017" y="3720967"/>
            <a:ext cx="360" cy="360"/>
          </xdr14:xfrm>
        </xdr:contentPart>
      </mc:Choice>
      <mc:Fallback xmlns="">
        <xdr:pic>
          <xdr:nvPicPr>
            <xdr:cNvPr id="27" name="Ink 26">
              <a:extLst>
                <a:ext uri="{FF2B5EF4-FFF2-40B4-BE49-F238E27FC236}">
                  <a16:creationId xmlns:a16="http://schemas.microsoft.com/office/drawing/2014/main" id="{FAF58C42-CDFE-8ACE-C459-5B1A988FB2D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4736377" y="371196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370684</xdr:colOff>
      <xdr:row>104</xdr:row>
      <xdr:rowOff>85180</xdr:rowOff>
    </xdr:from>
    <xdr:to>
      <xdr:col>9</xdr:col>
      <xdr:colOff>221171</xdr:colOff>
      <xdr:row>106</xdr:row>
      <xdr:rowOff>3883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291F7279-0A86-4962-BF87-1F4F84DBE9DE}"/>
                </a:ext>
              </a:extLst>
            </xdr14:cNvPr>
            <xdr14:cNvContentPartPr/>
          </xdr14:nvContentPartPr>
          <xdr14:nvPr macro=""/>
          <xdr14:xfrm>
            <a:off x="22765017" y="3471847"/>
            <a:ext cx="1708920" cy="238320"/>
          </xdr14:xfrm>
        </xdr:contentPart>
      </mc:Choice>
      <mc:Fallback xmlns="">
        <xdr:pic>
          <xdr:nvPicPr>
            <xdr:cNvPr id="28" name="Ink 27">
              <a:extLst>
                <a:ext uri="{FF2B5EF4-FFF2-40B4-BE49-F238E27FC236}">
                  <a16:creationId xmlns:a16="http://schemas.microsoft.com/office/drawing/2014/main" id="{169063D4-DC8D-3016-BB9F-F477B85316AF}"/>
                </a:ext>
              </a:extLst>
            </xdr:cNvPr>
            <xdr:cNvPicPr/>
          </xdr:nvPicPr>
          <xdr:blipFill>
            <a:blip xmlns:r="http://schemas.openxmlformats.org/officeDocument/2006/relationships" r:embed="rId38"/>
            <a:stretch>
              <a:fillRect/>
            </a:stretch>
          </xdr:blipFill>
          <xdr:spPr>
            <a:xfrm>
              <a:off x="22756377" y="3463207"/>
              <a:ext cx="1726560" cy="255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D2A9FBE0-AFED-41B2-8477-905802C7985E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29" name="Ink 28">
              <a:extLst>
                <a:ext uri="{FF2B5EF4-FFF2-40B4-BE49-F238E27FC236}">
                  <a16:creationId xmlns:a16="http://schemas.microsoft.com/office/drawing/2014/main" id="{2E0BBDF9-23FD-4080-9B25-CC5A8A1774D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53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A72BA07E-0B55-4EFD-892B-3C59C9146366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0" name="Ink 29">
              <a:extLst>
                <a:ext uri="{FF2B5EF4-FFF2-40B4-BE49-F238E27FC236}">
                  <a16:creationId xmlns:a16="http://schemas.microsoft.com/office/drawing/2014/main" id="{AD6148A8-BB6F-4ECB-AF73-D55321E2837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AE992498-4BEF-499C-8C6A-7E09F4DEC010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1" name="Ink 30">
              <a:extLst>
                <a:ext uri="{FF2B5EF4-FFF2-40B4-BE49-F238E27FC236}">
                  <a16:creationId xmlns:a16="http://schemas.microsoft.com/office/drawing/2014/main" id="{CA518D0C-7F2A-4FBF-8AC4-FA271FC0DBC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70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04F3A581-4D39-4049-A2D1-C7AF97463F57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2" name="Ink 31">
              <a:extLst>
                <a:ext uri="{FF2B5EF4-FFF2-40B4-BE49-F238E27FC236}">
                  <a16:creationId xmlns:a16="http://schemas.microsoft.com/office/drawing/2014/main" id="{40B02A2F-8D63-4028-93F5-A7B2C9BA61CD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B8CE6401-9FE5-4974-9894-D5E294661055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3" name="Ink 32">
              <a:extLst>
                <a:ext uri="{FF2B5EF4-FFF2-40B4-BE49-F238E27FC236}">
                  <a16:creationId xmlns:a16="http://schemas.microsoft.com/office/drawing/2014/main" id="{B10DE199-37F6-45B5-B0F1-8FD0D85CD90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66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9CD7BAC4-6324-4FFD-AD40-FD6C5861C335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4" name="Ink 33">
              <a:extLst>
                <a:ext uri="{FF2B5EF4-FFF2-40B4-BE49-F238E27FC236}">
                  <a16:creationId xmlns:a16="http://schemas.microsoft.com/office/drawing/2014/main" id="{4BD98AEC-952D-4F04-A0C5-0B1D7DF70A1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13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882739C2-686A-4C4F-B945-C29E0580F4C9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5" name="Ink 34">
              <a:extLst>
                <a:ext uri="{FF2B5EF4-FFF2-40B4-BE49-F238E27FC236}">
                  <a16:creationId xmlns:a16="http://schemas.microsoft.com/office/drawing/2014/main" id="{33350CCA-D90D-4AA3-B011-2966642AED7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0</xdr:colOff>
      <xdr:row>13</xdr:row>
      <xdr:rowOff>0</xdr:rowOff>
    </xdr:from>
    <xdr:to>
      <xdr:col>15</xdr:col>
      <xdr:colOff>360</xdr:colOff>
      <xdr:row>13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2ED41F3B-A1AD-4CED-995B-414CDC116D58}"/>
                </a:ext>
              </a:extLst>
            </xdr14:cNvPr>
            <xdr14:cNvContentPartPr/>
          </xdr14:nvContentPartPr>
          <xdr14:nvPr macro=""/>
          <xdr14:xfrm>
            <a:off x="31766707" y="2146543"/>
            <a:ext cx="360" cy="360"/>
          </xdr14:xfrm>
        </xdr:contentPart>
      </mc:Choice>
      <mc:Fallback xmlns="">
        <xdr:pic>
          <xdr:nvPicPr>
            <xdr:cNvPr id="36" name="Ink 35">
              <a:extLst>
                <a:ext uri="{FF2B5EF4-FFF2-40B4-BE49-F238E27FC236}">
                  <a16:creationId xmlns:a16="http://schemas.microsoft.com/office/drawing/2014/main" id="{C4FAD169-573C-7008-2D05-44EEAD1BE5F4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1757707" y="213754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0</xdr:colOff>
      <xdr:row>16</xdr:row>
      <xdr:rowOff>211806</xdr:rowOff>
    </xdr:from>
    <xdr:to>
      <xdr:col>16</xdr:col>
      <xdr:colOff>356180</xdr:colOff>
      <xdr:row>19</xdr:row>
      <xdr:rowOff>63339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C26A0A0-B17E-4DCD-9CD2-867CE7D47E0C}"/>
                </a:ext>
              </a:extLst>
            </xdr14:cNvPr>
            <xdr14:cNvContentPartPr/>
          </xdr14:nvContentPartPr>
          <xdr14:nvPr macro=""/>
          <xdr14:xfrm>
            <a:off x="32528827" y="2106223"/>
            <a:ext cx="2350080" cy="266400"/>
          </xdr14:xfrm>
        </xdr:contentPart>
      </mc:Choice>
      <mc:Fallback xmlns="">
        <xdr:pic>
          <xdr:nvPicPr>
            <xdr:cNvPr id="37" name="Ink 36">
              <a:extLst>
                <a:ext uri="{FF2B5EF4-FFF2-40B4-BE49-F238E27FC236}">
                  <a16:creationId xmlns:a16="http://schemas.microsoft.com/office/drawing/2014/main" id="{425085C3-DE21-87F2-68BA-0F56CA07CADA}"/>
                </a:ext>
              </a:extLst>
            </xdr:cNvPr>
            <xdr:cNvPicPr/>
          </xdr:nvPicPr>
          <xdr:blipFill>
            <a:blip xmlns:r="http://schemas.openxmlformats.org/officeDocument/2006/relationships" r:embed="rId48"/>
            <a:stretch>
              <a:fillRect/>
            </a:stretch>
          </xdr:blipFill>
          <xdr:spPr>
            <a:xfrm>
              <a:off x="32519827" y="2097583"/>
              <a:ext cx="2367720" cy="284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1110600</xdr:colOff>
      <xdr:row>36</xdr:row>
      <xdr:rowOff>0</xdr:rowOff>
    </xdr:from>
    <xdr:to>
      <xdr:col>14</xdr:col>
      <xdr:colOff>1110960</xdr:colOff>
      <xdr:row>36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22C88F04-8431-47E4-8B68-439C9AD6535D}"/>
                </a:ext>
              </a:extLst>
            </xdr14:cNvPr>
            <xdr14:cNvContentPartPr/>
          </xdr14:nvContentPartPr>
          <xdr14:nvPr macro=""/>
          <xdr14:xfrm>
            <a:off x="30532267" y="2644423"/>
            <a:ext cx="360" cy="360"/>
          </xdr14:xfrm>
        </xdr:contentPart>
      </mc:Choice>
      <mc:Fallback xmlns="">
        <xdr:pic>
          <xdr:nvPicPr>
            <xdr:cNvPr id="38" name="Ink 37">
              <a:extLst>
                <a:ext uri="{FF2B5EF4-FFF2-40B4-BE49-F238E27FC236}">
                  <a16:creationId xmlns:a16="http://schemas.microsoft.com/office/drawing/2014/main" id="{6CFC3A3C-1CA8-2E15-37A9-A254FB5B9145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0523627" y="263542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360</xdr:colOff>
      <xdr:row>45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CD1DFC6-A58B-415A-8D60-2AEDEA390F12}"/>
                </a:ext>
              </a:extLst>
            </xdr14:cNvPr>
            <xdr14:cNvContentPartPr/>
          </xdr14:nvContentPartPr>
          <xdr14:nvPr macro=""/>
          <xdr14:xfrm>
            <a:off x="20070947" y="3059503"/>
            <a:ext cx="360" cy="360"/>
          </xdr14:xfrm>
        </xdr:contentPart>
      </mc:Choice>
      <mc:Fallback xmlns="">
        <xdr:pic>
          <xdr:nvPicPr>
            <xdr:cNvPr id="39" name="Ink 38">
              <a:extLst>
                <a:ext uri="{FF2B5EF4-FFF2-40B4-BE49-F238E27FC236}">
                  <a16:creationId xmlns:a16="http://schemas.microsoft.com/office/drawing/2014/main" id="{04B48C14-B5A2-D175-AB9D-A5A19DB88844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0062307" y="305050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15</xdr:col>
      <xdr:colOff>0</xdr:colOff>
      <xdr:row>9</xdr:row>
      <xdr:rowOff>252126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333D537-4268-4246-9D06-7CD8D4619649}"/>
                </a:ext>
              </a:extLst>
            </xdr14:cNvPr>
            <xdr14:cNvContentPartPr/>
          </xdr14:nvContentPartPr>
          <xdr14:nvPr macro=""/>
          <xdr14:xfrm>
            <a:off x="31766707" y="2146543"/>
            <a:ext cx="360" cy="360"/>
          </xdr14:xfrm>
        </xdr:contentPart>
      </mc:Choice>
      <mc:Fallback xmlns="">
        <xdr:pic>
          <xdr:nvPicPr>
            <xdr:cNvPr id="40" name="Ink 39">
              <a:extLst>
                <a:ext uri="{FF2B5EF4-FFF2-40B4-BE49-F238E27FC236}">
                  <a16:creationId xmlns:a16="http://schemas.microsoft.com/office/drawing/2014/main" id="{85E9E763-BDCC-4392-A375-FF1971A21E6A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1757707" y="2137543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16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79012141-9C78-47E4-A430-36EE9940B151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21" name="Ink 20">
              <a:extLst>
                <a:ext uri="{FF2B5EF4-FFF2-40B4-BE49-F238E27FC236}">
                  <a16:creationId xmlns:a16="http://schemas.microsoft.com/office/drawing/2014/main" id="{CB6E953F-D35A-8A97-10A4-16345A3C4F2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55555644-CF77-4250-A68D-AACFD783C20F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29" name="Ink 28">
              <a:extLst>
                <a:ext uri="{FF2B5EF4-FFF2-40B4-BE49-F238E27FC236}">
                  <a16:creationId xmlns:a16="http://schemas.microsoft.com/office/drawing/2014/main" id="{2E0BBDF9-23FD-4080-9B25-CC5A8A1774D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18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FA44E65C-060E-4404-B28F-2644F0B36C83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0" name="Ink 29">
              <a:extLst>
                <a:ext uri="{FF2B5EF4-FFF2-40B4-BE49-F238E27FC236}">
                  <a16:creationId xmlns:a16="http://schemas.microsoft.com/office/drawing/2014/main" id="{AD6148A8-BB6F-4ECB-AF73-D55321E2837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5C45BBF7-D633-4082-8C8B-017498677490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1" name="Ink 30">
              <a:extLst>
                <a:ext uri="{FF2B5EF4-FFF2-40B4-BE49-F238E27FC236}">
                  <a16:creationId xmlns:a16="http://schemas.microsoft.com/office/drawing/2014/main" id="{CA518D0C-7F2A-4FBF-8AC4-FA271FC0DBC2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35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5313B985-1706-4A34-BBB2-2CEBD917F133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2" name="Ink 31">
              <a:extLst>
                <a:ext uri="{FF2B5EF4-FFF2-40B4-BE49-F238E27FC236}">
                  <a16:creationId xmlns:a16="http://schemas.microsoft.com/office/drawing/2014/main" id="{40B02A2F-8D63-4028-93F5-A7B2C9BA61CD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F1960D13-03E7-474C-A913-0CE67E02FB0A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3" name="Ink 32">
              <a:extLst>
                <a:ext uri="{FF2B5EF4-FFF2-40B4-BE49-F238E27FC236}">
                  <a16:creationId xmlns:a16="http://schemas.microsoft.com/office/drawing/2014/main" id="{B10DE199-37F6-45B5-B0F1-8FD0D85CD90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31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2DE60C0E-BE20-4151-B41E-311D8726D026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4" name="Ink 33">
              <a:extLst>
                <a:ext uri="{FF2B5EF4-FFF2-40B4-BE49-F238E27FC236}">
                  <a16:creationId xmlns:a16="http://schemas.microsoft.com/office/drawing/2014/main" id="{4BD98AEC-952D-4F04-A0C5-0B1D7DF70A1E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0</xdr:row>
      <xdr:rowOff>84730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9673061C-750F-4889-938A-EFDBF5F0B48C}"/>
                </a:ext>
              </a:extLst>
            </xdr14:cNvPr>
            <xdr14:cNvContentPartPr/>
          </xdr14:nvContentPartPr>
          <xdr14:nvPr macro=""/>
          <xdr14:xfrm>
            <a:off x="33052267" y="4360397"/>
            <a:ext cx="360" cy="360"/>
          </xdr14:xfrm>
        </xdr:contentPart>
      </mc:Choice>
      <mc:Fallback xmlns="">
        <xdr:pic>
          <xdr:nvPicPr>
            <xdr:cNvPr id="35" name="Ink 34">
              <a:extLst>
                <a:ext uri="{FF2B5EF4-FFF2-40B4-BE49-F238E27FC236}">
                  <a16:creationId xmlns:a16="http://schemas.microsoft.com/office/drawing/2014/main" id="{33350CCA-D90D-4AA3-B011-2966642AED7B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3043267" y="43513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11</xdr:row>
      <xdr:rowOff>252126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60E61F48-695E-4019-AAFC-7CBEA2307D66}"/>
                </a:ext>
              </a:extLst>
            </xdr14:cNvPr>
            <xdr14:cNvContentPartPr/>
          </xdr14:nvContentPartPr>
          <xdr14:nvPr macro=""/>
          <xdr14:xfrm>
            <a:off x="31766707" y="2146543"/>
            <a:ext cx="360" cy="360"/>
          </xdr14:xfrm>
        </xdr:contentPart>
      </mc:Choice>
      <mc:Fallback xmlns="">
        <xdr:pic>
          <xdr:nvPicPr>
            <xdr:cNvPr id="36" name="Ink 35">
              <a:extLst>
                <a:ext uri="{FF2B5EF4-FFF2-40B4-BE49-F238E27FC236}">
                  <a16:creationId xmlns:a16="http://schemas.microsoft.com/office/drawing/2014/main" id="{C4FAD169-573C-7008-2D05-44EEAD1BE5F4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1757707" y="2137543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15</xdr:col>
      <xdr:colOff>0</xdr:colOff>
      <xdr:row>69</xdr:row>
      <xdr:rowOff>0</xdr:rowOff>
    </xdr:from>
    <xdr:to>
      <xdr:col>15</xdr:col>
      <xdr:colOff>360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08CFE459-96C2-491E-B2AB-4C7D65C984DA}"/>
                </a:ext>
              </a:extLst>
            </xdr14:cNvPr>
            <xdr14:cNvContentPartPr/>
          </xdr14:nvContentPartPr>
          <xdr14:nvPr macro=""/>
          <xdr14:xfrm>
            <a:off x="35297227" y="23981240"/>
            <a:ext cx="360" cy="360"/>
          </xdr14:xfrm>
        </xdr:contentPart>
      </mc:Choice>
      <mc:Fallback xmlns="">
        <xdr:pic>
          <xdr:nvPicPr>
            <xdr:cNvPr id="50" name="Ink 49">
              <a:extLst>
                <a:ext uri="{FF2B5EF4-FFF2-40B4-BE49-F238E27FC236}">
                  <a16:creationId xmlns:a16="http://schemas.microsoft.com/office/drawing/2014/main" id="{591B924A-9BB1-2223-6666-F0DA5B05C2F1}"/>
                </a:ext>
              </a:extLst>
            </xdr:cNvPr>
            <xdr:cNvPicPr/>
          </xdr:nvPicPr>
          <xdr:blipFill>
            <a:blip xmlns:r="http://schemas.openxmlformats.org/officeDocument/2006/relationships" r:embed="rId62"/>
            <a:stretch>
              <a:fillRect/>
            </a:stretch>
          </xdr:blipFill>
          <xdr:spPr>
            <a:xfrm>
              <a:off x="35288587" y="23972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0</xdr:colOff>
      <xdr:row>69</xdr:row>
      <xdr:rowOff>0</xdr:rowOff>
    </xdr:from>
    <xdr:to>
      <xdr:col>15</xdr:col>
      <xdr:colOff>360</xdr:colOff>
      <xdr:row>69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53EFB8DA-0FBF-4464-8F46-895E9CF16B79}"/>
                </a:ext>
              </a:extLst>
            </xdr14:cNvPr>
            <xdr14:cNvContentPartPr/>
          </xdr14:nvContentPartPr>
          <xdr14:nvPr macro=""/>
          <xdr14:xfrm>
            <a:off x="35299747" y="24067137"/>
            <a:ext cx="360" cy="360"/>
          </xdr14:xfrm>
        </xdr:contentPart>
      </mc:Choice>
      <mc:Fallback xmlns="">
        <xdr:pic>
          <xdr:nvPicPr>
            <xdr:cNvPr id="51" name="Ink 50">
              <a:extLst>
                <a:ext uri="{FF2B5EF4-FFF2-40B4-BE49-F238E27FC236}">
                  <a16:creationId xmlns:a16="http://schemas.microsoft.com/office/drawing/2014/main" id="{A844DDA6-BE85-9C66-3D21-2C78AE6BD1EE}"/>
                </a:ext>
              </a:extLst>
            </xdr:cNvPr>
            <xdr:cNvPicPr/>
          </xdr:nvPicPr>
          <xdr:blipFill>
            <a:blip xmlns:r="http://schemas.openxmlformats.org/officeDocument/2006/relationships" r:embed="rId62"/>
            <a:stretch>
              <a:fillRect/>
            </a:stretch>
          </xdr:blipFill>
          <xdr:spPr>
            <a:xfrm>
              <a:off x="35290747" y="2405813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20</xdr:col>
      <xdr:colOff>0</xdr:colOff>
      <xdr:row>100</xdr:row>
      <xdr:rowOff>0</xdr:rowOff>
    </xdr:from>
    <xdr:to>
      <xdr:col>20</xdr:col>
      <xdr:colOff>360</xdr:colOff>
      <xdr:row>100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B273CD20-2995-4DBC-9877-CADA5E774153}"/>
                </a:ext>
              </a:extLst>
            </xdr14:cNvPr>
            <xdr14:cNvContentPartPr/>
          </xdr14:nvContentPartPr>
          <xdr14:nvPr macro=""/>
          <xdr14:xfrm>
            <a:off x="45658083" y="28855697"/>
            <a:ext cx="360" cy="360"/>
          </xdr14:xfrm>
        </xdr:contentPart>
      </mc:Choice>
      <mc:Fallback xmlns="">
        <xdr:pic>
          <xdr:nvPicPr>
            <xdr:cNvPr id="52" name="Ink 51">
              <a:extLst>
                <a:ext uri="{FF2B5EF4-FFF2-40B4-BE49-F238E27FC236}">
                  <a16:creationId xmlns:a16="http://schemas.microsoft.com/office/drawing/2014/main" id="{2B850184-17A3-5258-4736-82776507CF9E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45649083" y="2884669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22</xdr:col>
      <xdr:colOff>0</xdr:colOff>
      <xdr:row>99</xdr:row>
      <xdr:rowOff>139963</xdr:rowOff>
    </xdr:from>
    <xdr:to>
      <xdr:col>22</xdr:col>
      <xdr:colOff>360</xdr:colOff>
      <xdr:row>99</xdr:row>
      <xdr:rowOff>139963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DB747966-0599-44FD-9601-29124CB25EEB}"/>
                </a:ext>
              </a:extLst>
            </xdr14:cNvPr>
            <xdr14:cNvContentPartPr/>
          </xdr14:nvContentPartPr>
          <xdr14:nvPr macro=""/>
          <xdr14:xfrm>
            <a:off x="54425970" y="27635463"/>
            <a:ext cx="360" cy="360"/>
          </xdr14:xfrm>
        </xdr:contentPart>
      </mc:Choice>
      <mc:Fallback xmlns="">
        <xdr:pic>
          <xdr:nvPicPr>
            <xdr:cNvPr id="53" name="Ink 52">
              <a:extLst>
                <a:ext uri="{FF2B5EF4-FFF2-40B4-BE49-F238E27FC236}">
                  <a16:creationId xmlns:a16="http://schemas.microsoft.com/office/drawing/2014/main" id="{3A27E190-E54F-7690-9F51-B5568E2DC8BA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54416970" y="27626463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360</xdr:colOff>
      <xdr:row>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4B33443D-A345-4BF2-B577-7EF3CB96AE84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0</xdr:colOff>
      <xdr:row>11</xdr:row>
      <xdr:rowOff>209587</xdr:rowOff>
    </xdr:from>
    <xdr:to>
      <xdr:col>15</xdr:col>
      <xdr:colOff>55080</xdr:colOff>
      <xdr:row>13</xdr:row>
      <xdr:rowOff>73077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25B23897-A992-4846-9D4E-AE566BA86C41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618567</xdr:colOff>
      <xdr:row>12</xdr:row>
      <xdr:rowOff>165760</xdr:rowOff>
    </xdr:from>
    <xdr:to>
      <xdr:col>9</xdr:col>
      <xdr:colOff>688767</xdr:colOff>
      <xdr:row>12</xdr:row>
      <xdr:rowOff>165760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4EA4F01F-EE9D-4B73-9434-71A4024687CA}"/>
                </a:ext>
              </a:extLst>
            </xdr14:cNvPr>
            <xdr14:cNvContentPartPr/>
          </xdr14:nvContentPartPr>
          <xdr14:nvPr macro=""/>
          <xdr14:xfrm>
            <a:off x="16874567" y="3488927"/>
            <a:ext cx="70200" cy="1080"/>
          </xdr14:xfrm>
        </xdr:contentPart>
      </mc:Choice>
      <mc:Fallback xmlns="">
        <xdr:pic>
          <xdr:nvPicPr>
            <xdr:cNvPr id="56" name="Ink 55">
              <a:extLst>
                <a:ext uri="{FF2B5EF4-FFF2-40B4-BE49-F238E27FC236}">
                  <a16:creationId xmlns:a16="http://schemas.microsoft.com/office/drawing/2014/main" id="{C72DBD0A-8C99-B32B-C888-4802591BCAC1}"/>
                </a:ext>
              </a:extLst>
            </xdr:cNvPr>
            <xdr:cNvPicPr/>
          </xdr:nvPicPr>
          <xdr:blipFill>
            <a:blip xmlns:r="http://schemas.openxmlformats.org/officeDocument/2006/relationships" r:embed="rId71"/>
            <a:stretch>
              <a:fillRect/>
            </a:stretch>
          </xdr:blipFill>
          <xdr:spPr>
            <a:xfrm>
              <a:off x="16865567" y="3480287"/>
              <a:ext cx="87840" cy="18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872200</xdr:colOff>
      <xdr:row>100</xdr:row>
      <xdr:rowOff>0</xdr:rowOff>
    </xdr:from>
    <xdr:to>
      <xdr:col>18</xdr:col>
      <xdr:colOff>872560</xdr:colOff>
      <xdr:row>100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FEEB7059-AE51-4EE8-9D06-12486C3E7F93}"/>
                </a:ext>
              </a:extLst>
            </xdr14:cNvPr>
            <xdr14:cNvContentPartPr/>
          </xdr14:nvContentPartPr>
          <xdr14:nvPr macro=""/>
          <xdr14:xfrm>
            <a:off x="43152617" y="28482270"/>
            <a:ext cx="360" cy="360"/>
          </xdr14:xfrm>
        </xdr:contentPart>
      </mc:Choice>
      <mc:Fallback xmlns="">
        <xdr:pic>
          <xdr:nvPicPr>
            <xdr:cNvPr id="57" name="Ink 56">
              <a:extLst>
                <a:ext uri="{FF2B5EF4-FFF2-40B4-BE49-F238E27FC236}">
                  <a16:creationId xmlns:a16="http://schemas.microsoft.com/office/drawing/2014/main" id="{139C5F17-539D-9D33-28EE-8D64A3EED728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43143617" y="2847363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15</xdr:col>
      <xdr:colOff>0</xdr:colOff>
      <xdr:row>16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B353770F-970F-4EE1-9DE0-2A7E0D01A7A2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16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CF632020-B5B7-419D-9394-F90569BEFD1E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18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04E1939F-CCA2-45B0-98E6-FB7E8085F87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18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8E38FC1C-0993-4511-BC79-F9B6ACF05A50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20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70C6B64F-4DF4-42B9-AE3D-171F299A71C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20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0688D1A0-1275-4F85-A811-2488A4C7D69F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29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572BBF4D-0C45-40D6-973F-717F4DE749F3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29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2CB4B126-0FB6-44D4-B244-218912C28989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34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844C078A-E11B-4DD6-9BAF-47B8367B4829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34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40A25568-CB96-4D01-B784-36AD3B6C7DF6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38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3E972673-67B4-44BC-89F7-703687991425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38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F96C1FC5-52B2-4D21-88F4-75CA46AF39F3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41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BEC50A10-61D2-4BF3-BD1A-C7659F25E898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41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0770BD07-E3B7-422F-8C9D-967E43832351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42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A36A7B89-075D-4AC6-BB44-4A4CCD9A77E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42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E724463C-29CB-468D-BA48-A853C3563286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46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838CBF3D-969E-42DE-A1B2-D61DD8EB34D0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46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C024D745-E513-4C36-9605-05A4C1D9278B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49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526F7ECC-1749-4503-A3A4-BE08FB3FB2B2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49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4A4E540D-3399-497E-8963-C0BB50B4DC5B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81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3593194D-819A-40EF-9B7F-D158FA59442A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81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0C0A90C1-FA1C-48BF-A292-38C06DEBFF87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82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619A6496-7E7D-4FE9-9AF1-3810C899F962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82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598A354B-7B61-4B74-8E37-4742610C66EC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83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67C2AAD1-F555-42DF-850C-667283555CE8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83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45EB00E9-9AC2-434C-993C-8389C90AB5A7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84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999CB771-6ED8-4655-8EDD-324C062F3D2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84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515B493D-DAE4-4275-A8A2-77F6F7EB784F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86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E02958CC-98B6-4A1D-8BFD-088913D6525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86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C99C8344-EA30-42CE-AC86-2EFF24B1165B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87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1087FE4D-C7CC-466C-B8A4-913103FDF236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87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748475B9-5AD5-435A-9B3E-CBDE9C6029DC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88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4ADDBBAC-6CF6-4A67-82CA-3F63742A2195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88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F2559E05-9C3F-4E58-B439-D33B32B5A57E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89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AE49DDB7-0C63-464C-B71C-C47FC86EA0F2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89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35DA6761-E18C-4AC6-97D7-498A707D4F1E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92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B1D82771-CFE9-493E-8201-95916BB590B5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92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07DBF92D-1A8D-4DCE-8D64-1F007A63774F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93</xdr:row>
      <xdr:rowOff>123547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EC4637BA-575E-4EA1-897D-34DE842C453F}"/>
                </a:ext>
              </a:extLst>
            </xdr14:cNvPr>
            <xdr14:cNvContentPartPr/>
          </xdr14:nvContentPartPr>
          <xdr14:nvPr macro=""/>
          <xdr14:xfrm>
            <a:off x="28495557" y="3108047"/>
            <a:ext cx="360" cy="360"/>
          </xdr14:xfrm>
        </xdr:contentPart>
      </mc:Choice>
      <mc:Fallback xmlns="">
        <xdr:pic>
          <xdr:nvPicPr>
            <xdr:cNvPr id="54" name="Ink 53">
              <a:extLst>
                <a:ext uri="{FF2B5EF4-FFF2-40B4-BE49-F238E27FC236}">
                  <a16:creationId xmlns:a16="http://schemas.microsoft.com/office/drawing/2014/main" id="{D582C14E-8247-DB7C-C161-CEB0958BD581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28486917" y="309904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15</xdr:col>
      <xdr:colOff>0</xdr:colOff>
      <xdr:row>93</xdr:row>
      <xdr:rowOff>209587</xdr:rowOff>
    </xdr:from>
    <xdr:ext cx="55080" cy="1238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87487D8D-8935-437B-ABA5-9B0D09535D61}"/>
                </a:ext>
              </a:extLst>
            </xdr14:cNvPr>
            <xdr14:cNvContentPartPr/>
          </xdr14:nvContentPartPr>
          <xdr14:nvPr macro=""/>
          <xdr14:xfrm>
            <a:off x="28160757" y="3194087"/>
            <a:ext cx="55080" cy="123840"/>
          </xdr14:xfrm>
        </xdr:contentPart>
      </mc:Choice>
      <mc:Fallback xmlns="">
        <xdr:pic>
          <xdr:nvPicPr>
            <xdr:cNvPr id="55" name="Ink 54">
              <a:extLst>
                <a:ext uri="{FF2B5EF4-FFF2-40B4-BE49-F238E27FC236}">
                  <a16:creationId xmlns:a16="http://schemas.microsoft.com/office/drawing/2014/main" id="{DC9FC2E6-F2C2-E0DF-0CE6-F72C3CC64AD3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28151757" y="3185087"/>
              <a:ext cx="72720" cy="1414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d.docs.live.net/bbe268c104ac439a/Desktop/New%20folder%20(2)/New%20folder/NEITI_22-23%20OGA/NEITI_2022_2023%20Final%20Reporting/1-Contextual%20Report%20%5eM%20Main%20Reports_Review%20Feedback/Working%20Papers/Production%20%5e0%20Lifting%20Volumetrics_WorkBook%20_NEITI%2022-23_26_Sept%20_2024_Final.xlsx" TargetMode="External"/><Relationship Id="rId2" Type="http://schemas.microsoft.com/office/2019/04/relationships/externalLinkLongPath" Target="/bbe268c104ac439a/Desktop/New%20folder%20(2)/New%20folder/NEITI_22-23%20OGA/NEITI_2022_2023%20Final%20Reporting/1-Contextual%20Report%20%5eM%20Main%20Reports_Review%20Feedback/Working%20Papers/Production%20%5e0%20Lifting%20Volumetrics_WorkBook%20_NEITI%2022-23_26_Sept%20_2024_Final.xlsx?BD91B2DA" TargetMode="External"/><Relationship Id="rId1" Type="http://schemas.openxmlformats.org/officeDocument/2006/relationships/externalLinkPath" Target="file:///\\BD91B2DA\Production%20%5e0%20Lifting%20Volumetrics_WorkBook%20_NEITI%2022-23_26_Sept%20_2024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10-year_Trend_Gas"/>
      <sheetName val="10-year_Trend_Crude Oil"/>
      <sheetName val="Crude Lifting trend"/>
      <sheetName val="NNPC_Production_Monthly"/>
      <sheetName val="NNPC Production Record_2023"/>
      <sheetName val="NTL-NNPC Sales Record_2023"/>
      <sheetName val="Crude Lifting Table"/>
      <sheetName val="Recon_NNPC Lifting_Sales Record"/>
      <sheetName val="OPEC"/>
      <sheetName val="2_LeadSch_Crude Lifting"/>
      <sheetName val="2.1_Recon_Crude Lifting"/>
      <sheetName val="2.2.1.Lifting_Terminal_NUPRC_22"/>
      <sheetName val="2.2.2_Lifting_Coy_FAAC_NUPRC_22"/>
      <sheetName val="2.3.1.Lifting_Terminal_NUPRC_23"/>
      <sheetName val="2.3.2_Lifting_Coy_FAAC_NUPRC_23"/>
      <sheetName val="2.4_Lifting Entitlement_NNPC"/>
      <sheetName val="Deferment_NUPRC_2022"/>
      <sheetName val="Crude Losses_2023"/>
      <sheetName val="Crude Losses_NUPRC_2022"/>
      <sheetName val="Crude Losses_NUPRC_2023"/>
      <sheetName val="Crude Losses_2022"/>
      <sheetName val="3_LeadSch_Total Production"/>
      <sheetName val="3.1_Recon_Fis_Prod_NUPRC+Coy"/>
      <sheetName val="3.2_Fiscal Prod_by arrangmt"/>
      <sheetName val="3.2_Recon_MeteredProd_NUPRC+Coy"/>
      <sheetName val="3.3__2022_Crude Productn_NUPRC"/>
      <sheetName val="3.4_2023_Crude Productn_NUPRC"/>
      <sheetName val="3.4.1_Crude Prod_Field_NUPRC_22"/>
      <sheetName val="Crude Prod_Contract_NUPRC_22"/>
      <sheetName val="Crude Prod_Contract_NUPRC_23"/>
      <sheetName val="3.4.2_Crude Prod_Field_NUPRC_23"/>
      <sheetName val="3.1_Subsch_JV Crude Oil Prodtn"/>
      <sheetName val="3.3_Fed Entitlement  JVCrude"/>
      <sheetName val="4_LeadSch_Deferred_Oil &amp; Gas"/>
      <sheetName val="7_LeadSch_Gas Pro +Utilisatn_v2"/>
      <sheetName val="7_LeadSch_Gas Pro +Utilisation"/>
      <sheetName val="7.1_Gas Production by Arrangemt"/>
      <sheetName val="7_LeadSGas Pro+Utility_22_Final"/>
      <sheetName val="7_LeadSGas Pro+Utility_23_Final"/>
      <sheetName val="Gas Utilisatn_by arrangmt_NUPRC"/>
      <sheetName val="Recon_Gas Production "/>
      <sheetName val="NUPRC_2023_Gas Production"/>
      <sheetName val="Crude Oil Deferment_NUPRC_2022"/>
      <sheetName val="Crude Oil Deferment_NUPRC_2023"/>
      <sheetName val="NUPRC_2022_Gas Production"/>
      <sheetName val="GHG"/>
      <sheetName val="Reserve"/>
      <sheetName val="NNPC Production Record_2022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M15">
            <v>19573878</v>
          </cell>
        </row>
        <row r="16">
          <cell r="M16">
            <v>0</v>
          </cell>
        </row>
        <row r="17">
          <cell r="M17">
            <v>3997656</v>
          </cell>
        </row>
        <row r="18">
          <cell r="M18">
            <v>0</v>
          </cell>
        </row>
        <row r="19">
          <cell r="M19">
            <v>14132914</v>
          </cell>
        </row>
        <row r="20">
          <cell r="M20">
            <v>4926387</v>
          </cell>
        </row>
        <row r="33">
          <cell r="M33">
            <v>5697710</v>
          </cell>
        </row>
        <row r="34">
          <cell r="M34">
            <v>2957023</v>
          </cell>
        </row>
        <row r="35">
          <cell r="M35">
            <v>4827380</v>
          </cell>
        </row>
        <row r="36">
          <cell r="M36">
            <v>19334952</v>
          </cell>
        </row>
        <row r="37">
          <cell r="M37">
            <v>4501926</v>
          </cell>
        </row>
        <row r="38">
          <cell r="M38">
            <v>0</v>
          </cell>
        </row>
        <row r="39">
          <cell r="M39">
            <v>500868</v>
          </cell>
        </row>
        <row r="53">
          <cell r="M53">
            <v>1522892</v>
          </cell>
        </row>
        <row r="54">
          <cell r="M54">
            <v>2949915</v>
          </cell>
        </row>
        <row r="55">
          <cell r="M55">
            <v>1397240</v>
          </cell>
        </row>
        <row r="56">
          <cell r="M56">
            <v>2047446</v>
          </cell>
        </row>
        <row r="113">
          <cell r="M113">
            <v>14139066</v>
          </cell>
        </row>
        <row r="114">
          <cell r="M114">
            <v>4753036</v>
          </cell>
        </row>
        <row r="115">
          <cell r="M115">
            <v>2255650</v>
          </cell>
        </row>
        <row r="116">
          <cell r="M116">
            <v>1943932</v>
          </cell>
        </row>
        <row r="117">
          <cell r="M117">
            <v>8598867</v>
          </cell>
        </row>
        <row r="119">
          <cell r="M119">
            <v>1988861</v>
          </cell>
        </row>
        <row r="120">
          <cell r="M120">
            <v>2036805</v>
          </cell>
        </row>
        <row r="121">
          <cell r="M121">
            <v>3105516</v>
          </cell>
        </row>
        <row r="122">
          <cell r="M122">
            <v>995675</v>
          </cell>
        </row>
        <row r="123">
          <cell r="M123">
            <v>3064568</v>
          </cell>
        </row>
        <row r="124">
          <cell r="M124">
            <v>14204719</v>
          </cell>
        </row>
        <row r="125">
          <cell r="M125">
            <v>6170762</v>
          </cell>
        </row>
        <row r="126">
          <cell r="M126">
            <v>9132913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231 1 25527 0 0,'-230'26'0'0'0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1 0 22511 0 0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41 0 21711 0 0,'0'0'0'0'0,"-40"0"6544"0"0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4125 1 26615 0 0</inkml:trace>
  <inkml:trace contextRef="#ctx0" brushRef="#br0" timeOffset="1">3345 72 16184 0 0</inkml:trace>
  <inkml:trace contextRef="#ctx0" brushRef="#br0" timeOffset="2">2514 174 14968 0 0</inkml:trace>
  <inkml:trace contextRef="#ctx0" brushRef="#br0" timeOffset="3">1697 174 15880 0 0</inkml:trace>
  <inkml:trace contextRef="#ctx0" brushRef="#br0" timeOffset="4">238 249 16184 0 0</inkml:trace>
  <inkml:trace contextRef="#ctx0" brushRef="#br0" timeOffset="5">0 273 20351 0 0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1 0 20903 0 0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1 0 18191 0 0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1 0 21911 0 0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0 1 20335 0 0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23223 0 0,'0'0'-17431'0'0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1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0 929 24519 0 0</inkml:trace>
  <inkml:trace contextRef="#ctx0" brushRef="#br0" timeOffset="1">1560 413 24823 0 0,'99'-22'0'0'0</inkml:trace>
  <inkml:trace contextRef="#ctx0" brushRef="#br0" timeOffset="2">2954 0 12960 0 0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0 1 11256 0 0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0 0 8744 0 0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0 0 29247 0 0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1 1 17983 0 0</inkml:trace>
  <inkml:trace contextRef="#ctx0" brushRef="#br0" timeOffset="1">26 17 15880 0 0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1 1 24223 0 0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1 1 23615 0 0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1871 1 7832 0 0</inkml:trace>
  <inkml:trace contextRef="#ctx0" brushRef="#br0" timeOffset="1">0 50 9312 0 0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1 0 22415 0 0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4746 661 26615 0 0</inkml:trace>
  <inkml:trace contextRef="#ctx0" brushRef="#br0" timeOffset="1">3904 596 29391 0 0</inkml:trace>
  <inkml:trace contextRef="#ctx0" brushRef="#br0" timeOffset="2">2938 398 32647 0 0</inkml:trace>
  <inkml:trace contextRef="#ctx0" brushRef="#br0" timeOffset="3">1 1 32759 0 0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1 0 17887 0 0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0 0 23615 0 0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0 1 22415 0 0</inkml:trace>
  <inkml:trace contextRef="#ctx0" brushRef="#br0" timeOffset="1">2267 153 14568 0 0</inkml:trace>
  <inkml:trace contextRef="#ctx0" brushRef="#br0" timeOffset="2">4103 494 11952 0 0</inkml:trace>
  <inkml:trace contextRef="#ctx0" brushRef="#br0" timeOffset="3">6527 1105 14312 0 0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1 0 21207 0 0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1 0 24223 0 0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0 0 23615 0 0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0 1 9648 0 0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0 0 24223 0 0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0 0 23615 0 0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1 0 16783 0 0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180 2 18487 0 0,'-35'-1'0'0'0,"-109"1"-13871"0"0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5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0 0 18991 0 0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0 0 23615 0 0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0 0 20503 0 0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0 713 25879 0 0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194 2 17983 0 0,'-194'-1'0'0'0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0 1 21807 0 0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6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0 0 15472 0 0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4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0 1 20807 0 0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0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0 1 13560 0 0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50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2374 0 14968 0 0</inkml:trace>
  <inkml:trace contextRef="#ctx0" brushRef="#br0" timeOffset="1">187 1080 11552 0 0</inkml:trace>
  <inkml:trace contextRef="#ctx0" brushRef="#br0" timeOffset="2">1 1182 10848 0 0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1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2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2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2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1 0 18591 0 0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4-10-10T11:19:53.6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152 0 24191 0 0</inkml:trace>
  <inkml:trace contextRef="#ctx0" brushRef="#br0" timeOffset="1">0 343 25879 0 0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4-09-07T14:13:14.04" personId="{00000000-0000-0000-0000-000000000000}" id="{EEE08025-6148-48AB-A13E-040701EAAA8A}">
    <text xml:space="preserve">NUPRC RECONCILED SIGNED OFF
</text>
  </threadedComment>
  <threadedComment ref="S7" dT="2024-09-20T17:22:09.94" personId="{00000000-0000-0000-0000-000000000000}" id="{DBBC984C-989A-4C76-A286-E0D67E3BE62A}">
    <text>Review for consideration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6" dT="2024-09-11T13:47:44.49" personId="{00000000-0000-0000-0000-000000000000}" id="{95FC601B-6CF5-4573-AE38-4863A8B0A5C3}">
    <text>ARADEL</text>
  </threadedComment>
  <threadedComment ref="K81" dT="2024-09-15T17:57:59.30" personId="{00000000-0000-0000-0000-000000000000}" id="{BD83D996-F7B0-47E7-94D9-4E861788EF2C}">
    <text xml:space="preserve">OPAC Refinery delivery </text>
  </threadedComment>
  <threadedComment ref="M81" dT="2024-09-15T17:59:41.55" personId="{00000000-0000-0000-0000-000000000000}" id="{27E0FE9A-BFEE-4AFC-994A-321774ACB686}">
    <text xml:space="preserve">                   193,467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39E1-FB48-4BC2-B1DD-60B638E6ECB8}">
  <dimension ref="A2:V104"/>
  <sheetViews>
    <sheetView zoomScale="50" zoomScaleNormal="50" workbookViewId="0">
      <pane xSplit="6" ySplit="8" topLeftCell="G87" activePane="bottomRight" state="frozen"/>
      <selection pane="topRight" activeCell="G1" sqref="G1"/>
      <selection pane="bottomLeft" activeCell="A9" sqref="A9"/>
      <selection pane="bottomRight" activeCell="E101" sqref="E101"/>
    </sheetView>
  </sheetViews>
  <sheetFormatPr defaultColWidth="8.7265625" defaultRowHeight="13" x14ac:dyDescent="0.3"/>
  <cols>
    <col min="1" max="1" width="2.26953125" style="40" customWidth="1"/>
    <col min="2" max="2" width="48.54296875" style="40" customWidth="1"/>
    <col min="3" max="3" width="50.36328125" style="36" bestFit="1" customWidth="1"/>
    <col min="4" max="4" width="10.36328125" style="36" bestFit="1" customWidth="1"/>
    <col min="5" max="5" width="22.81640625" style="36" bestFit="1" customWidth="1"/>
    <col min="6" max="6" width="16.6328125" style="36" bestFit="1" customWidth="1"/>
    <col min="7" max="7" width="23" style="40" customWidth="1"/>
    <col min="8" max="8" width="13.90625" style="40" bestFit="1" customWidth="1"/>
    <col min="9" max="9" width="12.54296875" style="40" customWidth="1"/>
    <col min="10" max="10" width="19" style="40" customWidth="1"/>
    <col min="11" max="11" width="15.08984375" style="38" bestFit="1" customWidth="1"/>
    <col min="12" max="14" width="13.81640625" style="38" customWidth="1"/>
    <col min="15" max="15" width="18.1796875" style="38" customWidth="1"/>
    <col min="16" max="16" width="28.453125" style="40" customWidth="1"/>
    <col min="17" max="17" width="15.1796875" style="40" bestFit="1" customWidth="1"/>
    <col min="18" max="18" width="13.54296875" style="40" customWidth="1"/>
    <col min="19" max="19" width="15.1796875" style="40" customWidth="1"/>
    <col min="20" max="20" width="14.1796875" style="40" bestFit="1" customWidth="1"/>
    <col min="21" max="21" width="13.81640625" style="38" customWidth="1"/>
    <col min="22" max="22" width="19.36328125" style="38" customWidth="1"/>
    <col min="23" max="16384" width="8.7265625" style="40"/>
  </cols>
  <sheetData>
    <row r="2" spans="1:22" x14ac:dyDescent="0.3">
      <c r="B2" s="41" t="s">
        <v>182</v>
      </c>
      <c r="C2" s="18"/>
      <c r="D2" s="18"/>
      <c r="E2" s="18"/>
      <c r="F2" s="18"/>
      <c r="G2" s="41"/>
      <c r="H2" s="41"/>
      <c r="I2" s="41"/>
      <c r="J2" s="42"/>
      <c r="K2" s="19"/>
      <c r="L2" s="19"/>
      <c r="M2" s="19"/>
      <c r="N2" s="19"/>
      <c r="O2" s="19"/>
      <c r="P2" s="43"/>
      <c r="Q2" s="41"/>
      <c r="R2" s="42"/>
      <c r="S2" s="41"/>
      <c r="T2" s="41"/>
      <c r="U2" s="19"/>
      <c r="V2" s="19"/>
    </row>
    <row r="3" spans="1:22" x14ac:dyDescent="0.3">
      <c r="B3" s="41"/>
      <c r="C3" s="18"/>
      <c r="D3" s="18"/>
      <c r="E3" s="18"/>
      <c r="F3" s="18"/>
      <c r="G3" s="41">
        <v>7004.03</v>
      </c>
      <c r="H3" s="41"/>
      <c r="I3" s="41"/>
      <c r="J3" s="41"/>
      <c r="K3" s="19">
        <v>5773.46</v>
      </c>
      <c r="L3" s="19"/>
      <c r="M3" s="19"/>
      <c r="N3" s="19"/>
      <c r="O3" s="19"/>
      <c r="P3" s="44"/>
      <c r="Q3" s="41"/>
      <c r="R3" s="41"/>
      <c r="S3" s="41"/>
      <c r="T3" s="41"/>
      <c r="U3" s="19"/>
      <c r="V3" s="19"/>
    </row>
    <row r="4" spans="1:22" x14ac:dyDescent="0.3">
      <c r="B4" s="41"/>
      <c r="C4" s="18"/>
      <c r="D4" s="18"/>
      <c r="E4" s="18"/>
      <c r="F4" s="18"/>
      <c r="G4" s="41"/>
      <c r="H4" s="41"/>
      <c r="I4" s="41"/>
      <c r="J4" s="41"/>
      <c r="K4" s="19"/>
      <c r="L4" s="19"/>
      <c r="M4" s="19"/>
      <c r="N4" s="19"/>
      <c r="O4" s="19"/>
      <c r="P4" s="44"/>
      <c r="Q4" s="41"/>
      <c r="R4" s="41"/>
      <c r="S4" s="41"/>
      <c r="T4" s="41"/>
      <c r="U4" s="19"/>
      <c r="V4" s="19"/>
    </row>
    <row r="5" spans="1:22" ht="13.5" thickBot="1" x14ac:dyDescent="0.35">
      <c r="B5" s="41"/>
      <c r="C5" s="18"/>
      <c r="D5" s="18"/>
      <c r="E5" s="18"/>
      <c r="F5" s="18"/>
      <c r="G5" s="41"/>
      <c r="H5" s="41"/>
      <c r="I5" s="41"/>
      <c r="J5" s="41"/>
      <c r="K5" s="19"/>
      <c r="L5" s="19"/>
      <c r="M5" s="19"/>
      <c r="N5" s="19"/>
      <c r="O5" s="19"/>
      <c r="P5" s="44"/>
      <c r="Q5" s="41"/>
      <c r="R5" s="41"/>
      <c r="S5" s="41"/>
      <c r="T5" s="41"/>
      <c r="U5" s="19"/>
      <c r="V5" s="19"/>
    </row>
    <row r="6" spans="1:22" ht="14.5" customHeight="1" x14ac:dyDescent="0.3">
      <c r="B6" s="45"/>
      <c r="C6" s="20"/>
      <c r="D6" s="20"/>
      <c r="E6" s="20"/>
      <c r="F6" s="20"/>
      <c r="G6" s="46">
        <v>2022</v>
      </c>
      <c r="H6" s="47"/>
      <c r="I6" s="47"/>
      <c r="J6" s="47"/>
      <c r="K6" s="47"/>
      <c r="L6" s="47"/>
      <c r="M6" s="47"/>
      <c r="N6" s="47"/>
      <c r="O6" s="47"/>
      <c r="P6" s="48">
        <v>2023</v>
      </c>
      <c r="Q6" s="48"/>
      <c r="R6" s="48"/>
      <c r="S6" s="48"/>
      <c r="T6" s="48"/>
      <c r="U6" s="48"/>
      <c r="V6" s="48"/>
    </row>
    <row r="7" spans="1:22" s="49" customFormat="1" ht="52" x14ac:dyDescent="0.35">
      <c r="B7" s="50" t="s">
        <v>0</v>
      </c>
      <c r="C7" s="21" t="s">
        <v>1</v>
      </c>
      <c r="D7" s="21" t="s">
        <v>2</v>
      </c>
      <c r="E7" s="21" t="s">
        <v>3</v>
      </c>
      <c r="F7" s="39" t="s">
        <v>4</v>
      </c>
      <c r="G7" s="22" t="s">
        <v>6</v>
      </c>
      <c r="H7" s="22" t="s">
        <v>7</v>
      </c>
      <c r="I7" s="22" t="s">
        <v>8</v>
      </c>
      <c r="J7" s="22" t="s">
        <v>9</v>
      </c>
      <c r="K7" s="22" t="s">
        <v>5</v>
      </c>
      <c r="L7" s="22" t="s">
        <v>10</v>
      </c>
      <c r="M7" s="22" t="s">
        <v>5</v>
      </c>
      <c r="N7" s="22" t="s">
        <v>11</v>
      </c>
      <c r="O7" s="51" t="s">
        <v>12</v>
      </c>
      <c r="P7" s="22" t="s">
        <v>6</v>
      </c>
      <c r="Q7" s="22" t="s">
        <v>7</v>
      </c>
      <c r="R7" s="22" t="s">
        <v>13</v>
      </c>
      <c r="S7" s="22" t="s">
        <v>14</v>
      </c>
      <c r="T7" s="22" t="s">
        <v>15</v>
      </c>
      <c r="U7" s="22" t="s">
        <v>11</v>
      </c>
      <c r="V7" s="51" t="s">
        <v>12</v>
      </c>
    </row>
    <row r="8" spans="1:22" x14ac:dyDescent="0.3">
      <c r="B8" s="52"/>
      <c r="C8" s="23"/>
      <c r="D8" s="23"/>
      <c r="E8" s="23"/>
      <c r="F8" s="23"/>
      <c r="G8" s="22" t="s">
        <v>16</v>
      </c>
      <c r="H8" s="22" t="s">
        <v>16</v>
      </c>
      <c r="I8" s="22"/>
      <c r="J8" s="22"/>
      <c r="K8" s="22" t="s">
        <v>16</v>
      </c>
      <c r="L8" s="22" t="s">
        <v>17</v>
      </c>
      <c r="M8" s="22" t="s">
        <v>16</v>
      </c>
      <c r="N8" s="22" t="s">
        <v>17</v>
      </c>
      <c r="O8" s="51" t="s">
        <v>16</v>
      </c>
      <c r="P8" s="22" t="s">
        <v>16</v>
      </c>
      <c r="Q8" s="22" t="s">
        <v>16</v>
      </c>
      <c r="R8" s="22"/>
      <c r="S8" s="22"/>
      <c r="T8" s="22" t="s">
        <v>16</v>
      </c>
      <c r="U8" s="22" t="s">
        <v>16</v>
      </c>
      <c r="V8" s="51" t="s">
        <v>16</v>
      </c>
    </row>
    <row r="9" spans="1:22" ht="15" customHeight="1" x14ac:dyDescent="0.3">
      <c r="B9" s="53" t="s">
        <v>18</v>
      </c>
      <c r="C9" s="24" t="s">
        <v>18</v>
      </c>
      <c r="D9" s="24" t="s">
        <v>19</v>
      </c>
      <c r="E9" s="24" t="s">
        <v>20</v>
      </c>
      <c r="F9" s="24" t="s">
        <v>21</v>
      </c>
      <c r="G9" s="54">
        <v>161913</v>
      </c>
      <c r="H9" s="54"/>
      <c r="I9" s="54"/>
      <c r="J9" s="54">
        <v>-2</v>
      </c>
      <c r="K9" s="1">
        <v>0</v>
      </c>
      <c r="L9" s="1"/>
      <c r="M9" s="1"/>
      <c r="N9" s="1"/>
      <c r="O9" s="11">
        <v>161915</v>
      </c>
      <c r="P9" s="54">
        <f>SUM(Q9:V9)</f>
        <v>131376</v>
      </c>
      <c r="Q9" s="54">
        <v>0</v>
      </c>
      <c r="R9" s="54"/>
      <c r="S9" s="54"/>
      <c r="T9" s="54">
        <v>0</v>
      </c>
      <c r="U9" s="1"/>
      <c r="V9" s="11">
        <v>131376</v>
      </c>
    </row>
    <row r="10" spans="1:22" ht="53.5" customHeight="1" thickBot="1" x14ac:dyDescent="0.35">
      <c r="B10" s="53" t="s">
        <v>22</v>
      </c>
      <c r="C10" s="25" t="s">
        <v>22</v>
      </c>
      <c r="D10" s="25" t="s">
        <v>23</v>
      </c>
      <c r="E10" s="25" t="s">
        <v>24</v>
      </c>
      <c r="F10" s="25" t="s">
        <v>25</v>
      </c>
      <c r="G10" s="55">
        <v>1441143</v>
      </c>
      <c r="H10" s="55"/>
      <c r="I10" s="55"/>
      <c r="J10" s="55"/>
      <c r="K10" s="2">
        <v>464445</v>
      </c>
      <c r="L10" s="2"/>
      <c r="M10" s="2"/>
      <c r="N10" s="2"/>
      <c r="O10" s="26">
        <v>976698</v>
      </c>
      <c r="P10" s="55">
        <f>SUM(Q10:V10)</f>
        <v>3560368</v>
      </c>
      <c r="Q10" s="55">
        <v>5719</v>
      </c>
      <c r="R10" s="55"/>
      <c r="S10" s="55"/>
      <c r="T10" s="55">
        <v>105133</v>
      </c>
      <c r="U10" s="2"/>
      <c r="V10" s="26">
        <v>3449516</v>
      </c>
    </row>
    <row r="11" spans="1:22" ht="15" customHeight="1" x14ac:dyDescent="0.3">
      <c r="B11" s="56" t="s">
        <v>26</v>
      </c>
      <c r="C11" s="27" t="s">
        <v>26</v>
      </c>
      <c r="D11" s="27" t="s">
        <v>27</v>
      </c>
      <c r="E11" s="27" t="s">
        <v>28</v>
      </c>
      <c r="F11" s="27" t="s">
        <v>29</v>
      </c>
      <c r="G11" s="57"/>
      <c r="H11" s="57"/>
      <c r="I11" s="57"/>
      <c r="J11" s="57"/>
      <c r="K11" s="3"/>
      <c r="L11" s="3"/>
      <c r="M11" s="3"/>
      <c r="N11" s="3"/>
      <c r="O11" s="4"/>
      <c r="P11" s="58">
        <f>SUM(Q11:V11)</f>
        <v>4249749</v>
      </c>
      <c r="Q11" s="57"/>
      <c r="R11" s="57"/>
      <c r="S11" s="57"/>
      <c r="T11" s="57"/>
      <c r="U11" s="3"/>
      <c r="V11" s="4">
        <v>4249749</v>
      </c>
    </row>
    <row r="12" spans="1:22" ht="13.5" thickBot="1" x14ac:dyDescent="0.35">
      <c r="B12" s="56"/>
      <c r="C12" s="28" t="s">
        <v>26</v>
      </c>
      <c r="D12" s="28" t="s">
        <v>23</v>
      </c>
      <c r="E12" s="28" t="s">
        <v>24</v>
      </c>
      <c r="F12" s="28" t="s">
        <v>25</v>
      </c>
      <c r="G12" s="59">
        <v>1797763</v>
      </c>
      <c r="H12" s="59">
        <v>1331613</v>
      </c>
      <c r="I12" s="59"/>
      <c r="J12" s="59">
        <v>1588</v>
      </c>
      <c r="K12" s="5">
        <v>208407</v>
      </c>
      <c r="L12" s="5"/>
      <c r="M12" s="5"/>
      <c r="N12" s="5"/>
      <c r="O12" s="6">
        <v>256155</v>
      </c>
      <c r="P12" s="59">
        <f>SUM(Q12:V12)</f>
        <v>0</v>
      </c>
      <c r="Q12" s="59">
        <v>0</v>
      </c>
      <c r="R12" s="59"/>
      <c r="S12" s="59"/>
      <c r="T12" s="59">
        <v>0</v>
      </c>
      <c r="U12" s="5"/>
      <c r="V12" s="6"/>
    </row>
    <row r="13" spans="1:22" ht="13.5" thickBot="1" x14ac:dyDescent="0.35">
      <c r="B13" s="53" t="s">
        <v>30</v>
      </c>
      <c r="C13" s="29" t="s">
        <v>30</v>
      </c>
      <c r="D13" s="29" t="s">
        <v>31</v>
      </c>
      <c r="E13" s="29" t="s">
        <v>31</v>
      </c>
      <c r="F13" s="29" t="s">
        <v>32</v>
      </c>
      <c r="G13" s="60">
        <v>2898910</v>
      </c>
      <c r="H13" s="60">
        <v>0</v>
      </c>
      <c r="I13" s="60"/>
      <c r="J13" s="60"/>
      <c r="K13" s="7">
        <v>0</v>
      </c>
      <c r="L13" s="7"/>
      <c r="M13" s="7"/>
      <c r="N13" s="7"/>
      <c r="O13" s="30">
        <v>2898910</v>
      </c>
      <c r="P13" s="60">
        <f>SUM(Q13:V13)</f>
        <v>2333571</v>
      </c>
      <c r="Q13" s="60">
        <v>0</v>
      </c>
      <c r="R13" s="60"/>
      <c r="S13" s="60">
        <f>-2297</f>
        <v>-2297</v>
      </c>
      <c r="T13" s="60">
        <v>0</v>
      </c>
      <c r="U13" s="7"/>
      <c r="V13" s="30">
        <v>2335868</v>
      </c>
    </row>
    <row r="14" spans="1:22" x14ac:dyDescent="0.3">
      <c r="B14" s="56" t="s">
        <v>33</v>
      </c>
      <c r="C14" s="27" t="s">
        <v>33</v>
      </c>
      <c r="D14" s="27" t="s">
        <v>34</v>
      </c>
      <c r="E14" s="27" t="s">
        <v>34</v>
      </c>
      <c r="F14" s="27" t="s">
        <v>35</v>
      </c>
      <c r="G14" s="57">
        <v>661815</v>
      </c>
      <c r="H14" s="57">
        <v>0</v>
      </c>
      <c r="I14" s="57"/>
      <c r="J14" s="57"/>
      <c r="K14" s="3">
        <v>0</v>
      </c>
      <c r="L14" s="3"/>
      <c r="M14" s="3"/>
      <c r="N14" s="3"/>
      <c r="O14" s="4">
        <v>661815</v>
      </c>
      <c r="P14" s="57">
        <f>SUM(Q14:V14)</f>
        <v>879973</v>
      </c>
      <c r="Q14" s="57"/>
      <c r="R14" s="57"/>
      <c r="S14" s="57"/>
      <c r="T14" s="57"/>
      <c r="U14" s="3"/>
      <c r="V14" s="4">
        <v>879973</v>
      </c>
    </row>
    <row r="15" spans="1:22" x14ac:dyDescent="0.3">
      <c r="A15" s="61"/>
      <c r="B15" s="56"/>
      <c r="C15" s="24" t="s">
        <v>33</v>
      </c>
      <c r="D15" s="24" t="s">
        <v>36</v>
      </c>
      <c r="E15" s="24" t="s">
        <v>35</v>
      </c>
      <c r="F15" s="24" t="s">
        <v>35</v>
      </c>
      <c r="G15" s="54">
        <v>5135375</v>
      </c>
      <c r="H15" s="54">
        <v>0</v>
      </c>
      <c r="I15" s="54"/>
      <c r="J15" s="54"/>
      <c r="K15" s="1">
        <v>0</v>
      </c>
      <c r="L15" s="1"/>
      <c r="M15" s="1"/>
      <c r="N15" s="1"/>
      <c r="O15" s="11">
        <v>5135375</v>
      </c>
      <c r="P15" s="54">
        <f>SUM(Q15:V15)</f>
        <v>3789658</v>
      </c>
      <c r="Q15" s="54">
        <v>1119</v>
      </c>
      <c r="R15" s="54"/>
      <c r="S15" s="54"/>
      <c r="T15" s="54"/>
      <c r="U15" s="1"/>
      <c r="V15" s="11">
        <v>3788539</v>
      </c>
    </row>
    <row r="16" spans="1:22" ht="13.5" thickBot="1" x14ac:dyDescent="0.35">
      <c r="B16" s="56"/>
      <c r="C16" s="28" t="s">
        <v>33</v>
      </c>
      <c r="D16" s="28" t="s">
        <v>37</v>
      </c>
      <c r="E16" s="28" t="s">
        <v>38</v>
      </c>
      <c r="F16" s="28" t="s">
        <v>39</v>
      </c>
      <c r="G16" s="59">
        <v>407541</v>
      </c>
      <c r="H16" s="59"/>
      <c r="I16" s="59"/>
      <c r="J16" s="59"/>
      <c r="K16" s="5">
        <v>74173</v>
      </c>
      <c r="L16" s="5"/>
      <c r="M16" s="5"/>
      <c r="N16" s="5">
        <v>612</v>
      </c>
      <c r="O16" s="11">
        <v>332756</v>
      </c>
      <c r="P16" s="59">
        <f>SUM(Q16:V16)</f>
        <v>706023</v>
      </c>
      <c r="Q16" s="59">
        <v>0</v>
      </c>
      <c r="R16" s="59"/>
      <c r="S16" s="59"/>
      <c r="T16" s="59">
        <v>0</v>
      </c>
      <c r="U16" s="5"/>
      <c r="V16" s="6">
        <v>706023</v>
      </c>
    </row>
    <row r="17" spans="1:22" x14ac:dyDescent="0.3">
      <c r="B17" s="53" t="s">
        <v>40</v>
      </c>
      <c r="C17" s="31" t="s">
        <v>40</v>
      </c>
      <c r="D17" s="31" t="s">
        <v>23</v>
      </c>
      <c r="E17" s="31" t="s">
        <v>24</v>
      </c>
      <c r="F17" s="31" t="s">
        <v>25</v>
      </c>
      <c r="G17" s="16">
        <v>1403117.1</v>
      </c>
      <c r="H17" s="16">
        <v>57791</v>
      </c>
      <c r="I17" s="16"/>
      <c r="J17" s="16">
        <v>402</v>
      </c>
      <c r="K17" s="8">
        <v>1180105</v>
      </c>
      <c r="L17" s="8"/>
      <c r="M17" s="8"/>
      <c r="N17" s="8"/>
      <c r="O17" s="9">
        <v>164819.1</v>
      </c>
      <c r="P17" s="16">
        <f>SUM(Q17:V17)</f>
        <v>62453</v>
      </c>
      <c r="Q17" s="16">
        <v>37</v>
      </c>
      <c r="R17" s="16"/>
      <c r="S17" s="16"/>
      <c r="T17" s="16">
        <v>0</v>
      </c>
      <c r="U17" s="8"/>
      <c r="V17" s="9">
        <v>62416</v>
      </c>
    </row>
    <row r="18" spans="1:22" ht="13.5" thickBot="1" x14ac:dyDescent="0.35">
      <c r="B18" s="53" t="s">
        <v>41</v>
      </c>
      <c r="C18" s="25" t="s">
        <v>41</v>
      </c>
      <c r="D18" s="25" t="s">
        <v>42</v>
      </c>
      <c r="E18" s="25" t="s">
        <v>43</v>
      </c>
      <c r="F18" s="25" t="s">
        <v>44</v>
      </c>
      <c r="G18" s="55">
        <v>227436</v>
      </c>
      <c r="H18" s="55"/>
      <c r="I18" s="55"/>
      <c r="J18" s="55"/>
      <c r="K18" s="2">
        <v>0</v>
      </c>
      <c r="L18" s="2"/>
      <c r="M18" s="2"/>
      <c r="N18" s="2">
        <v>1038</v>
      </c>
      <c r="O18" s="26">
        <v>226398</v>
      </c>
      <c r="P18" s="55">
        <f>SUM(Q18:V18)</f>
        <v>145284</v>
      </c>
      <c r="Q18" s="55">
        <v>0</v>
      </c>
      <c r="R18" s="55"/>
      <c r="S18" s="55"/>
      <c r="T18" s="55">
        <v>0</v>
      </c>
      <c r="U18" s="2">
        <v>1320</v>
      </c>
      <c r="V18" s="26">
        <v>143964</v>
      </c>
    </row>
    <row r="19" spans="1:22" x14ac:dyDescent="0.3">
      <c r="B19" s="56" t="s">
        <v>45</v>
      </c>
      <c r="C19" s="27" t="s">
        <v>45</v>
      </c>
      <c r="D19" s="27" t="s">
        <v>46</v>
      </c>
      <c r="E19" s="27" t="s">
        <v>47</v>
      </c>
      <c r="F19" s="27" t="s">
        <v>48</v>
      </c>
      <c r="G19" s="57">
        <v>43965753</v>
      </c>
      <c r="H19" s="57"/>
      <c r="I19" s="57"/>
      <c r="J19" s="57"/>
      <c r="K19" s="3"/>
      <c r="L19" s="3"/>
      <c r="M19" s="3"/>
      <c r="N19" s="3"/>
      <c r="O19" s="4">
        <v>43965753</v>
      </c>
      <c r="P19" s="57">
        <f>SUM(Q19:V19)</f>
        <v>45749090</v>
      </c>
      <c r="Q19" s="57"/>
      <c r="R19" s="57"/>
      <c r="S19" s="57"/>
      <c r="T19" s="57"/>
      <c r="U19" s="3"/>
      <c r="V19" s="4">
        <v>45749090</v>
      </c>
    </row>
    <row r="20" spans="1:22" ht="13.5" thickBot="1" x14ac:dyDescent="0.35">
      <c r="B20" s="56"/>
      <c r="C20" s="29" t="s">
        <v>45</v>
      </c>
      <c r="D20" s="29" t="s">
        <v>49</v>
      </c>
      <c r="E20" s="29" t="s">
        <v>50</v>
      </c>
      <c r="F20" s="29" t="s">
        <v>25</v>
      </c>
      <c r="G20" s="60"/>
      <c r="H20" s="60"/>
      <c r="I20" s="60"/>
      <c r="J20" s="60"/>
      <c r="K20" s="7"/>
      <c r="L20" s="7"/>
      <c r="M20" s="7"/>
      <c r="N20" s="7"/>
      <c r="O20" s="30"/>
      <c r="P20" s="59">
        <f>SUM(Q20:V20)</f>
        <v>444346.05619999999</v>
      </c>
      <c r="Q20" s="60"/>
      <c r="R20" s="30">
        <f>-74.59%*142018</f>
        <v>-105931.2262</v>
      </c>
      <c r="S20" s="30">
        <f>74.59%*3666</f>
        <v>2734.4694</v>
      </c>
      <c r="T20" s="30">
        <f>74.59%*72256</f>
        <v>53895.750399999997</v>
      </c>
      <c r="U20" s="7"/>
      <c r="V20" s="30">
        <f>74.59%*661814</f>
        <v>493647.0626</v>
      </c>
    </row>
    <row r="21" spans="1:22" ht="13.5" thickBot="1" x14ac:dyDescent="0.35">
      <c r="B21" s="56"/>
      <c r="C21" s="28" t="s">
        <v>45</v>
      </c>
      <c r="D21" s="28" t="s">
        <v>46</v>
      </c>
      <c r="E21" s="28" t="s">
        <v>51</v>
      </c>
      <c r="F21" s="28" t="s">
        <v>48</v>
      </c>
      <c r="G21" s="59">
        <v>8563703</v>
      </c>
      <c r="H21" s="59">
        <v>0</v>
      </c>
      <c r="I21" s="59"/>
      <c r="J21" s="59"/>
      <c r="K21" s="5">
        <v>0</v>
      </c>
      <c r="L21" s="5"/>
      <c r="M21" s="5"/>
      <c r="N21" s="5"/>
      <c r="O21" s="6">
        <v>8563703</v>
      </c>
      <c r="P21" s="59">
        <f>SUM(Q21:V21)</f>
        <v>6811664</v>
      </c>
      <c r="Q21" s="59">
        <v>0</v>
      </c>
      <c r="R21" s="59"/>
      <c r="S21" s="59"/>
      <c r="T21" s="59">
        <v>0</v>
      </c>
      <c r="U21" s="5"/>
      <c r="V21" s="6">
        <v>6811664</v>
      </c>
    </row>
    <row r="22" spans="1:22" ht="13.5" thickBot="1" x14ac:dyDescent="0.35">
      <c r="B22" s="53" t="s">
        <v>52</v>
      </c>
      <c r="C22" s="29" t="s">
        <v>52</v>
      </c>
      <c r="D22" s="29" t="s">
        <v>46</v>
      </c>
      <c r="E22" s="29" t="s">
        <v>51</v>
      </c>
      <c r="F22" s="29" t="s">
        <v>53</v>
      </c>
      <c r="G22" s="60">
        <v>228945</v>
      </c>
      <c r="H22" s="60">
        <v>0</v>
      </c>
      <c r="I22" s="60"/>
      <c r="J22" s="60"/>
      <c r="K22" s="7">
        <v>0</v>
      </c>
      <c r="L22" s="7"/>
      <c r="M22" s="7"/>
      <c r="N22" s="7"/>
      <c r="O22" s="30">
        <v>228945</v>
      </c>
      <c r="P22" s="60">
        <f>SUM(Q22:V22)</f>
        <v>182771</v>
      </c>
      <c r="Q22" s="60">
        <v>0</v>
      </c>
      <c r="R22" s="60"/>
      <c r="S22" s="60"/>
      <c r="T22" s="60">
        <v>0</v>
      </c>
      <c r="U22" s="7"/>
      <c r="V22" s="30">
        <v>182771</v>
      </c>
    </row>
    <row r="23" spans="1:22" x14ac:dyDescent="0.3">
      <c r="B23" s="56" t="s">
        <v>54</v>
      </c>
      <c r="C23" s="27" t="s">
        <v>54</v>
      </c>
      <c r="D23" s="27" t="s">
        <v>37</v>
      </c>
      <c r="E23" s="27" t="s">
        <v>38</v>
      </c>
      <c r="F23" s="27" t="s">
        <v>39</v>
      </c>
      <c r="G23" s="57">
        <v>3390</v>
      </c>
      <c r="H23" s="57"/>
      <c r="I23" s="57"/>
      <c r="J23" s="57"/>
      <c r="K23" s="3">
        <v>716</v>
      </c>
      <c r="L23" s="3"/>
      <c r="M23" s="3"/>
      <c r="N23" s="3">
        <v>3</v>
      </c>
      <c r="O23" s="4">
        <v>2671</v>
      </c>
      <c r="P23" s="57">
        <f>SUM(Q23:V23)</f>
        <v>0</v>
      </c>
      <c r="Q23" s="57"/>
      <c r="R23" s="57"/>
      <c r="S23" s="57"/>
      <c r="T23" s="57"/>
      <c r="U23" s="3"/>
      <c r="V23" s="4"/>
    </row>
    <row r="24" spans="1:22" ht="13.5" thickBot="1" x14ac:dyDescent="0.35">
      <c r="B24" s="56"/>
      <c r="C24" s="28" t="s">
        <v>54</v>
      </c>
      <c r="D24" s="28" t="s">
        <v>49</v>
      </c>
      <c r="E24" s="28" t="s">
        <v>55</v>
      </c>
      <c r="F24" s="28" t="s">
        <v>25</v>
      </c>
      <c r="G24" s="59">
        <v>302328.19</v>
      </c>
      <c r="H24" s="59"/>
      <c r="I24" s="59"/>
      <c r="J24" s="59">
        <v>3481</v>
      </c>
      <c r="K24" s="5">
        <v>26210.190000000002</v>
      </c>
      <c r="L24" s="5"/>
      <c r="M24" s="5"/>
      <c r="N24" s="5"/>
      <c r="O24" s="6">
        <v>272637</v>
      </c>
      <c r="P24" s="59">
        <f>SUM(Q24:V24)</f>
        <v>321254.33560094342</v>
      </c>
      <c r="Q24" s="59">
        <v>0</v>
      </c>
      <c r="R24" s="59"/>
      <c r="S24" s="59">
        <v>2310</v>
      </c>
      <c r="T24" s="59">
        <v>14451.335600943441</v>
      </c>
      <c r="U24" s="5"/>
      <c r="V24" s="6">
        <v>304493</v>
      </c>
    </row>
    <row r="25" spans="1:22" x14ac:dyDescent="0.3">
      <c r="B25" s="53" t="s">
        <v>56</v>
      </c>
      <c r="C25" s="31" t="s">
        <v>56</v>
      </c>
      <c r="D25" s="31" t="s">
        <v>57</v>
      </c>
      <c r="E25" s="31" t="s">
        <v>58</v>
      </c>
      <c r="F25" s="31" t="s">
        <v>59</v>
      </c>
      <c r="G25" s="16">
        <v>4630226</v>
      </c>
      <c r="H25" s="16"/>
      <c r="I25" s="16"/>
      <c r="J25" s="16">
        <v>-22644</v>
      </c>
      <c r="K25" s="8">
        <v>0</v>
      </c>
      <c r="L25" s="8"/>
      <c r="M25" s="8"/>
      <c r="N25" s="8"/>
      <c r="O25" s="9">
        <v>4652870</v>
      </c>
      <c r="P25" s="16">
        <f>SUM(Q25:V25)</f>
        <v>2846025</v>
      </c>
      <c r="Q25" s="16"/>
      <c r="R25" s="16"/>
      <c r="S25" s="16">
        <v>22085</v>
      </c>
      <c r="T25" s="16"/>
      <c r="U25" s="8"/>
      <c r="V25" s="9">
        <v>2823940</v>
      </c>
    </row>
    <row r="26" spans="1:22" x14ac:dyDescent="0.3">
      <c r="B26" s="53" t="s">
        <v>60</v>
      </c>
      <c r="C26" s="24" t="s">
        <v>60</v>
      </c>
      <c r="D26" s="24" t="s">
        <v>46</v>
      </c>
      <c r="E26" s="24" t="s">
        <v>51</v>
      </c>
      <c r="F26" s="24" t="s">
        <v>48</v>
      </c>
      <c r="G26" s="54">
        <v>75045</v>
      </c>
      <c r="H26" s="54">
        <v>1492</v>
      </c>
      <c r="I26" s="54"/>
      <c r="J26" s="54"/>
      <c r="K26" s="1">
        <v>0</v>
      </c>
      <c r="L26" s="1"/>
      <c r="M26" s="1"/>
      <c r="N26" s="1"/>
      <c r="O26" s="11">
        <v>73553</v>
      </c>
      <c r="P26" s="54">
        <f>SUM(Q26:V26)</f>
        <v>60395</v>
      </c>
      <c r="Q26" s="54">
        <v>0</v>
      </c>
      <c r="R26" s="54"/>
      <c r="S26" s="54">
        <v>4174</v>
      </c>
      <c r="T26" s="54">
        <v>0</v>
      </c>
      <c r="U26" s="1"/>
      <c r="V26" s="11">
        <v>56221</v>
      </c>
    </row>
    <row r="27" spans="1:22" ht="13.5" thickBot="1" x14ac:dyDescent="0.35">
      <c r="A27" s="61"/>
      <c r="B27" s="53" t="s">
        <v>61</v>
      </c>
      <c r="C27" s="25" t="s">
        <v>61</v>
      </c>
      <c r="D27" s="25" t="s">
        <v>49</v>
      </c>
      <c r="E27" s="25" t="s">
        <v>50</v>
      </c>
      <c r="F27" s="25" t="s">
        <v>25</v>
      </c>
      <c r="G27" s="55">
        <v>452546.30999999994</v>
      </c>
      <c r="H27" s="55">
        <v>0</v>
      </c>
      <c r="I27" s="55"/>
      <c r="J27" s="62">
        <v>6675</v>
      </c>
      <c r="K27" s="2">
        <v>56669.859999999993</v>
      </c>
      <c r="L27" s="2"/>
      <c r="M27" s="2"/>
      <c r="N27" s="2"/>
      <c r="O27" s="26">
        <v>389201.44999999995</v>
      </c>
      <c r="P27" s="55">
        <f>SUM(Q27:V27)</f>
        <v>1033043.4699999999</v>
      </c>
      <c r="Q27" s="55">
        <v>0</v>
      </c>
      <c r="R27" s="55"/>
      <c r="S27" s="55"/>
      <c r="T27" s="55">
        <v>46712.539999999994</v>
      </c>
      <c r="U27" s="2"/>
      <c r="V27" s="26">
        <v>986330.92999999982</v>
      </c>
    </row>
    <row r="28" spans="1:22" x14ac:dyDescent="0.3">
      <c r="B28" s="56" t="s">
        <v>62</v>
      </c>
      <c r="C28" s="27" t="s">
        <v>62</v>
      </c>
      <c r="D28" s="27" t="s">
        <v>49</v>
      </c>
      <c r="E28" s="27" t="s">
        <v>50</v>
      </c>
      <c r="F28" s="27" t="s">
        <v>25</v>
      </c>
      <c r="G28" s="57">
        <v>837878</v>
      </c>
      <c r="H28" s="57"/>
      <c r="I28" s="57"/>
      <c r="J28" s="57">
        <v>9827</v>
      </c>
      <c r="K28" s="3">
        <v>74759</v>
      </c>
      <c r="L28" s="3"/>
      <c r="M28" s="3"/>
      <c r="N28" s="3"/>
      <c r="O28" s="4">
        <v>753292</v>
      </c>
      <c r="P28" s="57">
        <f>SUM(Q28:V28)</f>
        <v>1331659</v>
      </c>
      <c r="Q28" s="57">
        <v>0</v>
      </c>
      <c r="R28" s="57"/>
      <c r="S28" s="57">
        <f>8907</f>
        <v>8907</v>
      </c>
      <c r="T28" s="57">
        <v>57016</v>
      </c>
      <c r="U28" s="3"/>
      <c r="V28" s="4">
        <v>1265736</v>
      </c>
    </row>
    <row r="29" spans="1:22" ht="13.5" thickBot="1" x14ac:dyDescent="0.35">
      <c r="B29" s="56"/>
      <c r="C29" s="28" t="s">
        <v>62</v>
      </c>
      <c r="D29" s="28" t="s">
        <v>37</v>
      </c>
      <c r="E29" s="28" t="s">
        <v>63</v>
      </c>
      <c r="F29" s="28" t="s">
        <v>39</v>
      </c>
      <c r="G29" s="59">
        <v>59751</v>
      </c>
      <c r="H29" s="59"/>
      <c r="I29" s="59"/>
      <c r="J29" s="59"/>
      <c r="K29" s="5">
        <v>13554</v>
      </c>
      <c r="L29" s="5"/>
      <c r="M29" s="5"/>
      <c r="N29" s="5">
        <v>60</v>
      </c>
      <c r="O29" s="6">
        <v>46137</v>
      </c>
      <c r="P29" s="59">
        <f>SUM(Q29:V29)</f>
        <v>0</v>
      </c>
      <c r="Q29" s="59"/>
      <c r="R29" s="59"/>
      <c r="S29" s="59"/>
      <c r="T29" s="59"/>
      <c r="U29" s="5"/>
      <c r="V29" s="6"/>
    </row>
    <row r="30" spans="1:22" x14ac:dyDescent="0.3">
      <c r="B30" s="53" t="s">
        <v>64</v>
      </c>
      <c r="C30" s="31" t="s">
        <v>64</v>
      </c>
      <c r="D30" s="31" t="s">
        <v>23</v>
      </c>
      <c r="E30" s="31" t="s">
        <v>65</v>
      </c>
      <c r="F30" s="31" t="s">
        <v>25</v>
      </c>
      <c r="G30" s="16">
        <v>3286744</v>
      </c>
      <c r="H30" s="16">
        <v>1481543</v>
      </c>
      <c r="I30" s="16"/>
      <c r="J30" s="16">
        <v>722</v>
      </c>
      <c r="K30" s="8">
        <v>1599400</v>
      </c>
      <c r="L30" s="8"/>
      <c r="M30" s="8"/>
      <c r="N30" s="8"/>
      <c r="O30" s="9">
        <v>205079</v>
      </c>
      <c r="P30" s="16">
        <f>SUM(Q30:V30)</f>
        <v>0</v>
      </c>
      <c r="Q30" s="16">
        <v>0</v>
      </c>
      <c r="R30" s="16"/>
      <c r="S30" s="16"/>
      <c r="T30" s="16">
        <v>0</v>
      </c>
      <c r="U30" s="8"/>
      <c r="V30" s="9">
        <v>0</v>
      </c>
    </row>
    <row r="31" spans="1:22" x14ac:dyDescent="0.3">
      <c r="B31" s="53" t="s">
        <v>66</v>
      </c>
      <c r="C31" s="24" t="s">
        <v>66</v>
      </c>
      <c r="D31" s="24" t="s">
        <v>49</v>
      </c>
      <c r="E31" s="24" t="s">
        <v>55</v>
      </c>
      <c r="F31" s="24" t="s">
        <v>25</v>
      </c>
      <c r="G31" s="54">
        <v>631949</v>
      </c>
      <c r="H31" s="54">
        <v>12638</v>
      </c>
      <c r="I31" s="54"/>
      <c r="J31" s="54"/>
      <c r="K31" s="1">
        <v>74458</v>
      </c>
      <c r="L31" s="1"/>
      <c r="M31" s="1"/>
      <c r="N31" s="1"/>
      <c r="O31" s="11">
        <v>544853</v>
      </c>
      <c r="P31" s="16">
        <f>SUM(Q31:V31)</f>
        <v>929765</v>
      </c>
      <c r="Q31" s="54">
        <v>13203</v>
      </c>
      <c r="R31" s="54"/>
      <c r="S31" s="54">
        <f>-16141</f>
        <v>-16141</v>
      </c>
      <c r="T31" s="54">
        <v>-4949</v>
      </c>
      <c r="U31" s="1"/>
      <c r="V31" s="11">
        <v>937652</v>
      </c>
    </row>
    <row r="32" spans="1:22" x14ac:dyDescent="0.3">
      <c r="B32" s="53" t="s">
        <v>67</v>
      </c>
      <c r="C32" s="24" t="s">
        <v>67</v>
      </c>
      <c r="D32" s="24" t="s">
        <v>68</v>
      </c>
      <c r="E32" s="24" t="s">
        <v>69</v>
      </c>
      <c r="F32" s="24" t="s">
        <v>70</v>
      </c>
      <c r="G32" s="54">
        <v>21972422</v>
      </c>
      <c r="H32" s="54"/>
      <c r="I32" s="54"/>
      <c r="J32" s="54">
        <v>6</v>
      </c>
      <c r="K32" s="1">
        <v>0</v>
      </c>
      <c r="L32" s="1"/>
      <c r="M32" s="1"/>
      <c r="N32" s="1"/>
      <c r="O32" s="11">
        <v>21972416</v>
      </c>
      <c r="P32" s="16">
        <f>SUM(Q32:V32)</f>
        <v>23446692</v>
      </c>
      <c r="Q32" s="54"/>
      <c r="R32" s="54"/>
      <c r="S32" s="54">
        <v>11</v>
      </c>
      <c r="T32" s="54">
        <v>0</v>
      </c>
      <c r="U32" s="1"/>
      <c r="V32" s="11">
        <v>23446681</v>
      </c>
    </row>
    <row r="33" spans="2:22" x14ac:dyDescent="0.3">
      <c r="B33" s="53" t="s">
        <v>71</v>
      </c>
      <c r="C33" s="24" t="s">
        <v>71</v>
      </c>
      <c r="D33" s="24" t="s">
        <v>72</v>
      </c>
      <c r="E33" s="24" t="s">
        <v>73</v>
      </c>
      <c r="F33" s="24" t="s">
        <v>70</v>
      </c>
      <c r="G33" s="54">
        <v>16437652</v>
      </c>
      <c r="H33" s="54">
        <v>0</v>
      </c>
      <c r="I33" s="54"/>
      <c r="J33" s="54"/>
      <c r="K33" s="1">
        <v>0</v>
      </c>
      <c r="L33" s="1"/>
      <c r="M33" s="1"/>
      <c r="N33" s="1"/>
      <c r="O33" s="11">
        <v>16437652</v>
      </c>
      <c r="P33" s="16">
        <f>SUM(Q33:V33)</f>
        <v>12406464</v>
      </c>
      <c r="Q33" s="54">
        <v>0</v>
      </c>
      <c r="R33" s="54"/>
      <c r="S33" s="54"/>
      <c r="T33" s="54">
        <v>0</v>
      </c>
      <c r="U33" s="1"/>
      <c r="V33" s="11">
        <v>12406464</v>
      </c>
    </row>
    <row r="34" spans="2:22" x14ac:dyDescent="0.3">
      <c r="B34" s="53" t="s">
        <v>74</v>
      </c>
      <c r="C34" s="24" t="s">
        <v>74</v>
      </c>
      <c r="D34" s="24" t="s">
        <v>75</v>
      </c>
      <c r="E34" s="24" t="s">
        <v>76</v>
      </c>
      <c r="F34" s="24" t="s">
        <v>70</v>
      </c>
      <c r="G34" s="54">
        <v>350632</v>
      </c>
      <c r="H34" s="54">
        <v>0</v>
      </c>
      <c r="I34" s="54"/>
      <c r="J34" s="54"/>
      <c r="K34" s="1">
        <v>0</v>
      </c>
      <c r="L34" s="1"/>
      <c r="M34" s="1"/>
      <c r="N34" s="1"/>
      <c r="O34" s="11">
        <v>350632</v>
      </c>
      <c r="P34" s="16">
        <f>SUM(Q34:V34)</f>
        <v>240927</v>
      </c>
      <c r="Q34" s="54">
        <v>0</v>
      </c>
      <c r="R34" s="54"/>
      <c r="S34" s="54"/>
      <c r="T34" s="54">
        <v>0</v>
      </c>
      <c r="U34" s="1"/>
      <c r="V34" s="11">
        <v>240927</v>
      </c>
    </row>
    <row r="35" spans="2:22" x14ac:dyDescent="0.3">
      <c r="B35" s="53" t="s">
        <v>77</v>
      </c>
      <c r="C35" s="24" t="s">
        <v>77</v>
      </c>
      <c r="D35" s="24" t="s">
        <v>78</v>
      </c>
      <c r="E35" s="24" t="s">
        <v>79</v>
      </c>
      <c r="F35" s="24" t="s">
        <v>80</v>
      </c>
      <c r="G35" s="54">
        <v>15416627</v>
      </c>
      <c r="H35" s="54">
        <v>0</v>
      </c>
      <c r="I35" s="54"/>
      <c r="J35" s="54"/>
      <c r="K35" s="1">
        <v>0</v>
      </c>
      <c r="L35" s="1"/>
      <c r="M35" s="1"/>
      <c r="N35" s="1"/>
      <c r="O35" s="11">
        <v>15416627</v>
      </c>
      <c r="P35" s="16">
        <f>SUM(Q35:V35)</f>
        <v>15140302</v>
      </c>
      <c r="Q35" s="54">
        <v>0</v>
      </c>
      <c r="R35" s="54"/>
      <c r="S35" s="54"/>
      <c r="T35" s="54">
        <v>0</v>
      </c>
      <c r="U35" s="1"/>
      <c r="V35" s="11">
        <v>15140302</v>
      </c>
    </row>
    <row r="36" spans="2:22" x14ac:dyDescent="0.3">
      <c r="B36" s="53" t="s">
        <v>81</v>
      </c>
      <c r="C36" s="24" t="s">
        <v>81</v>
      </c>
      <c r="D36" s="24" t="s">
        <v>82</v>
      </c>
      <c r="E36" s="24" t="s">
        <v>83</v>
      </c>
      <c r="F36" s="24" t="s">
        <v>84</v>
      </c>
      <c r="G36" s="60">
        <v>0</v>
      </c>
      <c r="H36" s="54">
        <v>0</v>
      </c>
      <c r="I36" s="54"/>
      <c r="J36" s="54"/>
      <c r="K36" s="1">
        <v>0</v>
      </c>
      <c r="L36" s="1"/>
      <c r="M36" s="1"/>
      <c r="N36" s="1"/>
      <c r="O36" s="11">
        <v>0</v>
      </c>
      <c r="P36" s="16">
        <f>SUM(Q36:V36)</f>
        <v>289917</v>
      </c>
      <c r="Q36" s="54">
        <v>0</v>
      </c>
      <c r="R36" s="54"/>
      <c r="S36" s="54"/>
      <c r="T36" s="54">
        <v>0</v>
      </c>
      <c r="U36" s="1"/>
      <c r="V36" s="11">
        <v>289917</v>
      </c>
    </row>
    <row r="37" spans="2:22" x14ac:dyDescent="0.3">
      <c r="B37" s="53" t="s">
        <v>85</v>
      </c>
      <c r="C37" s="24" t="s">
        <v>85</v>
      </c>
      <c r="D37" s="24" t="s">
        <v>86</v>
      </c>
      <c r="E37" s="24" t="s">
        <v>87</v>
      </c>
      <c r="F37" s="24" t="s">
        <v>32</v>
      </c>
      <c r="G37" s="54">
        <v>2164514</v>
      </c>
      <c r="H37" s="54"/>
      <c r="I37" s="54"/>
      <c r="J37" s="54">
        <v>4189</v>
      </c>
      <c r="K37" s="1">
        <v>0</v>
      </c>
      <c r="L37" s="1"/>
      <c r="M37" s="1"/>
      <c r="N37" s="1"/>
      <c r="O37" s="11">
        <v>2160325</v>
      </c>
      <c r="P37" s="16">
        <f>SUM(Q37:V37)</f>
        <v>3320000</v>
      </c>
      <c r="Q37" s="54"/>
      <c r="R37" s="54"/>
      <c r="S37" s="54">
        <v>243</v>
      </c>
      <c r="T37" s="54">
        <v>0</v>
      </c>
      <c r="U37" s="1"/>
      <c r="V37" s="11">
        <v>3319757</v>
      </c>
    </row>
    <row r="38" spans="2:22" x14ac:dyDescent="0.3">
      <c r="B38" s="53" t="s">
        <v>88</v>
      </c>
      <c r="C38" s="24" t="s">
        <v>88</v>
      </c>
      <c r="D38" s="24" t="s">
        <v>89</v>
      </c>
      <c r="E38" s="24" t="s">
        <v>43</v>
      </c>
      <c r="F38" s="24" t="s">
        <v>44</v>
      </c>
      <c r="G38" s="54">
        <v>139758</v>
      </c>
      <c r="H38" s="54">
        <v>0</v>
      </c>
      <c r="I38" s="54"/>
      <c r="J38" s="54"/>
      <c r="K38" s="1">
        <v>0</v>
      </c>
      <c r="L38" s="1"/>
      <c r="M38" s="1"/>
      <c r="N38" s="1"/>
      <c r="O38" s="11">
        <v>139758</v>
      </c>
      <c r="P38" s="16">
        <f>SUM(Q38:V38)</f>
        <v>199189</v>
      </c>
      <c r="Q38" s="54">
        <v>0</v>
      </c>
      <c r="R38" s="54"/>
      <c r="S38" s="54"/>
      <c r="T38" s="54">
        <v>0</v>
      </c>
      <c r="U38" s="1"/>
      <c r="V38" s="11">
        <v>199189</v>
      </c>
    </row>
    <row r="39" spans="2:22" ht="13.5" thickBot="1" x14ac:dyDescent="0.35">
      <c r="B39" s="53" t="s">
        <v>90</v>
      </c>
      <c r="C39" s="25" t="s">
        <v>90</v>
      </c>
      <c r="D39" s="25" t="s">
        <v>23</v>
      </c>
      <c r="E39" s="25" t="s">
        <v>24</v>
      </c>
      <c r="F39" s="25" t="s">
        <v>25</v>
      </c>
      <c r="G39" s="55">
        <v>4300295</v>
      </c>
      <c r="H39" s="55">
        <v>741907</v>
      </c>
      <c r="I39" s="55"/>
      <c r="J39" s="55">
        <v>189</v>
      </c>
      <c r="K39" s="2">
        <v>1910478</v>
      </c>
      <c r="L39" s="2"/>
      <c r="M39" s="2"/>
      <c r="N39" s="2"/>
      <c r="O39" s="26">
        <v>1647721</v>
      </c>
      <c r="P39" s="16">
        <f>SUM(Q39:V39)</f>
        <v>8686916.620000001</v>
      </c>
      <c r="Q39" s="55">
        <v>772818.62</v>
      </c>
      <c r="R39" s="55"/>
      <c r="S39" s="55"/>
      <c r="T39" s="55">
        <v>621267</v>
      </c>
      <c r="U39" s="2"/>
      <c r="V39" s="26">
        <v>7292831</v>
      </c>
    </row>
    <row r="40" spans="2:22" x14ac:dyDescent="0.3">
      <c r="B40" s="56" t="s">
        <v>91</v>
      </c>
      <c r="C40" s="32" t="s">
        <v>91</v>
      </c>
      <c r="D40" s="32" t="s">
        <v>49</v>
      </c>
      <c r="E40" s="32" t="s">
        <v>50</v>
      </c>
      <c r="F40" s="32" t="s">
        <v>25</v>
      </c>
      <c r="G40" s="57">
        <v>2293644</v>
      </c>
      <c r="H40" s="58"/>
      <c r="I40" s="58"/>
      <c r="J40" s="58">
        <v>26631</v>
      </c>
      <c r="K40" s="10">
        <v>206077</v>
      </c>
      <c r="L40" s="10"/>
      <c r="M40" s="10"/>
      <c r="N40" s="10"/>
      <c r="O40" s="33">
        <v>2060936</v>
      </c>
      <c r="P40" s="57">
        <f>SUM(Q40:V40)</f>
        <v>3334855.48191369</v>
      </c>
      <c r="Q40" s="58"/>
      <c r="R40" s="58"/>
      <c r="S40" s="58">
        <f>31728</f>
        <v>31728</v>
      </c>
      <c r="T40" s="58">
        <v>157633.48191369016</v>
      </c>
      <c r="U40" s="10"/>
      <c r="V40" s="33">
        <v>3145494</v>
      </c>
    </row>
    <row r="41" spans="2:22" ht="13.5" thickBot="1" x14ac:dyDescent="0.35">
      <c r="B41" s="56"/>
      <c r="C41" s="28" t="s">
        <v>91</v>
      </c>
      <c r="D41" s="28" t="s">
        <v>37</v>
      </c>
      <c r="E41" s="28" t="s">
        <v>63</v>
      </c>
      <c r="F41" s="28" t="s">
        <v>39</v>
      </c>
      <c r="G41" s="59">
        <v>77887</v>
      </c>
      <c r="H41" s="59"/>
      <c r="I41" s="59"/>
      <c r="J41" s="59"/>
      <c r="K41" s="5">
        <v>17794</v>
      </c>
      <c r="L41" s="5"/>
      <c r="M41" s="5"/>
      <c r="N41" s="5">
        <v>78</v>
      </c>
      <c r="O41" s="6">
        <v>60015</v>
      </c>
      <c r="P41" s="59">
        <f>SUM(Q41:V41)</f>
        <v>0</v>
      </c>
      <c r="Q41" s="59"/>
      <c r="R41" s="59"/>
      <c r="S41" s="59"/>
      <c r="T41" s="59"/>
      <c r="U41" s="5"/>
      <c r="V41" s="6"/>
    </row>
    <row r="42" spans="2:22" x14ac:dyDescent="0.3">
      <c r="B42" s="56" t="s">
        <v>92</v>
      </c>
      <c r="C42" s="27" t="s">
        <v>92</v>
      </c>
      <c r="D42" s="27" t="s">
        <v>93</v>
      </c>
      <c r="E42" s="27" t="s">
        <v>94</v>
      </c>
      <c r="F42" s="27" t="s">
        <v>70</v>
      </c>
      <c r="G42" s="57">
        <v>10282752</v>
      </c>
      <c r="H42" s="57"/>
      <c r="I42" s="57"/>
      <c r="J42" s="57">
        <v>80</v>
      </c>
      <c r="K42" s="3"/>
      <c r="L42" s="3"/>
      <c r="M42" s="3"/>
      <c r="N42" s="3"/>
      <c r="O42" s="4">
        <v>10282672</v>
      </c>
      <c r="P42" s="57">
        <f>SUM(Q42:V42)</f>
        <v>10739482</v>
      </c>
      <c r="Q42" s="57"/>
      <c r="R42" s="57"/>
      <c r="S42" s="57">
        <v>109</v>
      </c>
      <c r="T42" s="57"/>
      <c r="U42" s="3"/>
      <c r="V42" s="4">
        <v>10739373</v>
      </c>
    </row>
    <row r="43" spans="2:22" ht="13.5" thickBot="1" x14ac:dyDescent="0.35">
      <c r="B43" s="56"/>
      <c r="C43" s="28" t="s">
        <v>92</v>
      </c>
      <c r="D43" s="28" t="s">
        <v>75</v>
      </c>
      <c r="E43" s="28" t="s">
        <v>76</v>
      </c>
      <c r="F43" s="28" t="s">
        <v>70</v>
      </c>
      <c r="G43" s="59">
        <v>55010076</v>
      </c>
      <c r="H43" s="59"/>
      <c r="I43" s="59"/>
      <c r="J43" s="59"/>
      <c r="K43" s="5"/>
      <c r="L43" s="5"/>
      <c r="M43" s="5"/>
      <c r="N43" s="5"/>
      <c r="O43" s="6">
        <v>55010076</v>
      </c>
      <c r="P43" s="59">
        <f>SUM(Q43:V43)</f>
        <v>48170230</v>
      </c>
      <c r="Q43" s="59"/>
      <c r="R43" s="59"/>
      <c r="S43" s="59"/>
      <c r="T43" s="59"/>
      <c r="U43" s="5"/>
      <c r="V43" s="6">
        <v>48170230</v>
      </c>
    </row>
    <row r="44" spans="2:22" x14ac:dyDescent="0.3">
      <c r="B44" s="53" t="s">
        <v>95</v>
      </c>
      <c r="C44" s="31" t="s">
        <v>95</v>
      </c>
      <c r="D44" s="31" t="s">
        <v>49</v>
      </c>
      <c r="E44" s="31" t="s">
        <v>50</v>
      </c>
      <c r="F44" s="31" t="s">
        <v>25</v>
      </c>
      <c r="G44" s="16">
        <v>10556</v>
      </c>
      <c r="H44" s="16">
        <v>0</v>
      </c>
      <c r="I44" s="16"/>
      <c r="J44" s="16"/>
      <c r="K44" s="8">
        <v>2919</v>
      </c>
      <c r="L44" s="8"/>
      <c r="M44" s="8"/>
      <c r="N44" s="8"/>
      <c r="O44" s="9">
        <v>7637</v>
      </c>
      <c r="P44" s="16">
        <f>SUM(Q44:V44)</f>
        <v>59771</v>
      </c>
      <c r="Q44" s="16">
        <v>0</v>
      </c>
      <c r="R44" s="16"/>
      <c r="S44" s="16"/>
      <c r="T44" s="16">
        <v>0</v>
      </c>
      <c r="U44" s="8"/>
      <c r="V44" s="9">
        <v>59771</v>
      </c>
    </row>
    <row r="45" spans="2:22" x14ac:dyDescent="0.3">
      <c r="B45" s="53" t="s">
        <v>96</v>
      </c>
      <c r="C45" s="24" t="s">
        <v>96</v>
      </c>
      <c r="D45" s="24" t="s">
        <v>36</v>
      </c>
      <c r="E45" s="24" t="s">
        <v>35</v>
      </c>
      <c r="F45" s="24" t="s">
        <v>35</v>
      </c>
      <c r="G45" s="54">
        <v>564519</v>
      </c>
      <c r="H45" s="54">
        <v>0</v>
      </c>
      <c r="I45" s="54"/>
      <c r="J45" s="54"/>
      <c r="K45" s="1">
        <v>0</v>
      </c>
      <c r="L45" s="1"/>
      <c r="M45" s="1"/>
      <c r="N45" s="1"/>
      <c r="O45" s="11">
        <v>564519</v>
      </c>
      <c r="P45" s="54">
        <f>SUM(Q45:V45)</f>
        <v>730586</v>
      </c>
      <c r="Q45" s="54">
        <v>0</v>
      </c>
      <c r="R45" s="54"/>
      <c r="S45" s="54"/>
      <c r="T45" s="54">
        <v>0</v>
      </c>
      <c r="U45" s="1"/>
      <c r="V45" s="11">
        <v>730586</v>
      </c>
    </row>
    <row r="46" spans="2:22" x14ac:dyDescent="0.3">
      <c r="B46" s="53" t="s">
        <v>97</v>
      </c>
      <c r="C46" s="24" t="s">
        <v>97</v>
      </c>
      <c r="D46" s="24" t="s">
        <v>98</v>
      </c>
      <c r="E46" s="24" t="s">
        <v>99</v>
      </c>
      <c r="F46" s="24" t="s">
        <v>100</v>
      </c>
      <c r="G46" s="54">
        <v>4977042</v>
      </c>
      <c r="H46" s="54"/>
      <c r="I46" s="54"/>
      <c r="J46" s="54">
        <v>-7787</v>
      </c>
      <c r="K46" s="1">
        <v>0</v>
      </c>
      <c r="L46" s="1"/>
      <c r="M46" s="1"/>
      <c r="N46" s="1"/>
      <c r="O46" s="11">
        <v>4984829</v>
      </c>
      <c r="P46" s="54">
        <f>SUM(Q46:V46)</f>
        <v>2605558</v>
      </c>
      <c r="Q46" s="54">
        <v>0</v>
      </c>
      <c r="R46" s="54"/>
      <c r="S46" s="54">
        <f>3265</f>
        <v>3265</v>
      </c>
      <c r="T46" s="54">
        <v>0</v>
      </c>
      <c r="U46" s="1"/>
      <c r="V46" s="11">
        <v>2602293</v>
      </c>
    </row>
    <row r="47" spans="2:22" x14ac:dyDescent="0.3">
      <c r="B47" s="53" t="s">
        <v>101</v>
      </c>
      <c r="C47" s="24" t="s">
        <v>101</v>
      </c>
      <c r="D47" s="24" t="s">
        <v>37</v>
      </c>
      <c r="E47" s="24" t="s">
        <v>38</v>
      </c>
      <c r="F47" s="24" t="s">
        <v>39</v>
      </c>
      <c r="G47" s="54">
        <v>7807944</v>
      </c>
      <c r="H47" s="54"/>
      <c r="I47" s="54">
        <v>-738045</v>
      </c>
      <c r="J47" s="54"/>
      <c r="K47" s="1">
        <v>2332327</v>
      </c>
      <c r="L47" s="1"/>
      <c r="M47" s="1"/>
      <c r="N47" s="54">
        <v>357759</v>
      </c>
      <c r="O47" s="11">
        <v>5855903</v>
      </c>
      <c r="P47" s="54">
        <f>SUM(Q47:V47)</f>
        <v>7910313</v>
      </c>
      <c r="Q47" s="54">
        <v>-216673</v>
      </c>
      <c r="R47" s="54"/>
      <c r="S47" s="54"/>
      <c r="T47" s="54">
        <v>875370</v>
      </c>
      <c r="U47" s="1"/>
      <c r="V47" s="11">
        <v>7251616</v>
      </c>
    </row>
    <row r="48" spans="2:22" x14ac:dyDescent="0.3">
      <c r="B48" s="53" t="s">
        <v>102</v>
      </c>
      <c r="C48" s="24" t="s">
        <v>102</v>
      </c>
      <c r="D48" s="24" t="s">
        <v>75</v>
      </c>
      <c r="E48" s="24" t="s">
        <v>76</v>
      </c>
      <c r="F48" s="24" t="s">
        <v>70</v>
      </c>
      <c r="G48" s="54">
        <v>531414</v>
      </c>
      <c r="H48" s="54">
        <v>0</v>
      </c>
      <c r="I48" s="54"/>
      <c r="J48" s="54"/>
      <c r="K48" s="1">
        <v>0</v>
      </c>
      <c r="L48" s="1"/>
      <c r="M48" s="1"/>
      <c r="N48" s="1"/>
      <c r="O48" s="11">
        <v>531414</v>
      </c>
      <c r="P48" s="54">
        <f>SUM(Q48:V48)</f>
        <v>438840</v>
      </c>
      <c r="Q48" s="54">
        <v>0</v>
      </c>
      <c r="R48" s="54"/>
      <c r="S48" s="54"/>
      <c r="T48" s="54">
        <v>0</v>
      </c>
      <c r="U48" s="1"/>
      <c r="V48" s="11">
        <v>438840</v>
      </c>
    </row>
    <row r="49" spans="2:22" x14ac:dyDescent="0.3">
      <c r="B49" s="53" t="s">
        <v>103</v>
      </c>
      <c r="C49" s="24" t="s">
        <v>103</v>
      </c>
      <c r="D49" s="24" t="s">
        <v>49</v>
      </c>
      <c r="E49" s="24" t="s">
        <v>50</v>
      </c>
      <c r="F49" s="24" t="s">
        <v>25</v>
      </c>
      <c r="G49" s="60">
        <v>0</v>
      </c>
      <c r="H49" s="54">
        <v>0</v>
      </c>
      <c r="I49" s="54"/>
      <c r="J49" s="54"/>
      <c r="K49" s="1">
        <v>0</v>
      </c>
      <c r="L49" s="1"/>
      <c r="M49" s="1"/>
      <c r="N49" s="1"/>
      <c r="O49" s="11"/>
      <c r="P49" s="54">
        <f>SUM(Q49:V49)</f>
        <v>82972</v>
      </c>
      <c r="Q49" s="54">
        <v>0</v>
      </c>
      <c r="R49" s="54"/>
      <c r="S49" s="54"/>
      <c r="T49" s="54">
        <v>2712</v>
      </c>
      <c r="U49" s="1"/>
      <c r="V49" s="11">
        <v>80260</v>
      </c>
    </row>
    <row r="50" spans="2:22" ht="13.5" thickBot="1" x14ac:dyDescent="0.35">
      <c r="B50" s="53" t="s">
        <v>104</v>
      </c>
      <c r="C50" s="25" t="s">
        <v>104</v>
      </c>
      <c r="D50" s="25" t="s">
        <v>23</v>
      </c>
      <c r="E50" s="25" t="s">
        <v>24</v>
      </c>
      <c r="F50" s="25" t="s">
        <v>25</v>
      </c>
      <c r="G50" s="55">
        <v>2419633</v>
      </c>
      <c r="H50" s="55">
        <v>2737</v>
      </c>
      <c r="I50" s="55"/>
      <c r="J50" s="55">
        <v>9336</v>
      </c>
      <c r="K50" s="2">
        <v>1104711</v>
      </c>
      <c r="L50" s="2"/>
      <c r="M50" s="2"/>
      <c r="N50" s="2"/>
      <c r="O50" s="26">
        <v>1302849</v>
      </c>
      <c r="P50" s="55">
        <f>SUM(Q50:V50)</f>
        <v>7573972</v>
      </c>
      <c r="Q50" s="55">
        <v>0</v>
      </c>
      <c r="R50" s="55"/>
      <c r="S50" s="55">
        <f>66</f>
        <v>66</v>
      </c>
      <c r="T50" s="55"/>
      <c r="U50" s="2"/>
      <c r="V50" s="26">
        <v>7573906</v>
      </c>
    </row>
    <row r="51" spans="2:22" x14ac:dyDescent="0.3">
      <c r="B51" s="63" t="s">
        <v>105</v>
      </c>
      <c r="C51" s="27" t="s">
        <v>105</v>
      </c>
      <c r="D51" s="27" t="s">
        <v>23</v>
      </c>
      <c r="E51" s="27" t="s">
        <v>106</v>
      </c>
      <c r="F51" s="27" t="s">
        <v>25</v>
      </c>
      <c r="G51" s="57">
        <v>1608670</v>
      </c>
      <c r="H51" s="57">
        <v>442751</v>
      </c>
      <c r="I51" s="57"/>
      <c r="J51" s="57">
        <v>5160</v>
      </c>
      <c r="K51" s="3">
        <v>269226</v>
      </c>
      <c r="L51" s="3"/>
      <c r="M51" s="3"/>
      <c r="N51" s="3"/>
      <c r="O51" s="4">
        <v>891533</v>
      </c>
      <c r="P51" s="57">
        <f>SUM(Q51:V51)</f>
        <v>6677340.2000000002</v>
      </c>
      <c r="Q51" s="57">
        <v>763917</v>
      </c>
      <c r="R51" s="57"/>
      <c r="S51" s="57">
        <f>4638</f>
        <v>4638</v>
      </c>
      <c r="T51" s="57">
        <v>383653</v>
      </c>
      <c r="U51" s="3"/>
      <c r="V51" s="4">
        <v>5525132.2000000002</v>
      </c>
    </row>
    <row r="52" spans="2:22" x14ac:dyDescent="0.3">
      <c r="B52" s="63" t="s">
        <v>105</v>
      </c>
      <c r="C52" s="24" t="s">
        <v>107</v>
      </c>
      <c r="D52" s="24" t="s">
        <v>57</v>
      </c>
      <c r="E52" s="24" t="s">
        <v>108</v>
      </c>
      <c r="F52" s="24" t="s">
        <v>59</v>
      </c>
      <c r="G52" s="54">
        <v>1437091</v>
      </c>
      <c r="H52" s="54"/>
      <c r="I52" s="54"/>
      <c r="J52" s="54">
        <v>-5425</v>
      </c>
      <c r="K52" s="1"/>
      <c r="L52" s="1"/>
      <c r="M52" s="1"/>
      <c r="N52" s="1"/>
      <c r="O52" s="11">
        <v>1442516</v>
      </c>
      <c r="P52" s="54">
        <f>SUM(Q52:V52)</f>
        <v>659119</v>
      </c>
      <c r="Q52" s="54"/>
      <c r="R52" s="54"/>
      <c r="S52" s="54">
        <v>4579</v>
      </c>
      <c r="T52" s="54"/>
      <c r="U52" s="1"/>
      <c r="V52" s="11">
        <v>654540</v>
      </c>
    </row>
    <row r="53" spans="2:22" x14ac:dyDescent="0.3">
      <c r="B53" s="63" t="s">
        <v>105</v>
      </c>
      <c r="C53" s="24" t="s">
        <v>107</v>
      </c>
      <c r="D53" s="24" t="s">
        <v>109</v>
      </c>
      <c r="E53" s="24" t="s">
        <v>110</v>
      </c>
      <c r="F53" s="24" t="s">
        <v>111</v>
      </c>
      <c r="G53" s="54">
        <v>6248089</v>
      </c>
      <c r="H53" s="54"/>
      <c r="I53" s="54"/>
      <c r="J53" s="54"/>
      <c r="K53" s="1"/>
      <c r="L53" s="1"/>
      <c r="M53" s="1"/>
      <c r="N53" s="1"/>
      <c r="O53" s="11">
        <v>6248089</v>
      </c>
      <c r="P53" s="54">
        <f>SUM(Q53:V53)</f>
        <v>4274964</v>
      </c>
      <c r="Q53" s="54"/>
      <c r="R53" s="54"/>
      <c r="S53" s="54"/>
      <c r="T53" s="54"/>
      <c r="U53" s="1"/>
      <c r="V53" s="11">
        <v>4274964</v>
      </c>
    </row>
    <row r="54" spans="2:22" x14ac:dyDescent="0.3">
      <c r="B54" s="63" t="s">
        <v>105</v>
      </c>
      <c r="C54" s="24" t="s">
        <v>105</v>
      </c>
      <c r="D54" s="24" t="s">
        <v>112</v>
      </c>
      <c r="E54" s="24" t="s">
        <v>112</v>
      </c>
      <c r="F54" s="24" t="s">
        <v>59</v>
      </c>
      <c r="G54" s="54">
        <v>3598740</v>
      </c>
      <c r="H54" s="54"/>
      <c r="I54" s="54"/>
      <c r="J54" s="54">
        <v>-23640</v>
      </c>
      <c r="K54" s="1"/>
      <c r="L54" s="1"/>
      <c r="M54" s="1"/>
      <c r="N54" s="1"/>
      <c r="O54" s="11">
        <v>3622380</v>
      </c>
      <c r="P54" s="54">
        <f>SUM(Q54:V54)</f>
        <v>3206827</v>
      </c>
      <c r="Q54" s="54"/>
      <c r="R54" s="54"/>
      <c r="S54" s="54">
        <f>-37302</f>
        <v>-37302</v>
      </c>
      <c r="T54" s="54"/>
      <c r="U54" s="1"/>
      <c r="V54" s="11">
        <v>3244129</v>
      </c>
    </row>
    <row r="55" spans="2:22" x14ac:dyDescent="0.3">
      <c r="B55" s="63" t="s">
        <v>105</v>
      </c>
      <c r="C55" s="24" t="s">
        <v>105</v>
      </c>
      <c r="D55" s="24" t="s">
        <v>37</v>
      </c>
      <c r="E55" s="24" t="s">
        <v>113</v>
      </c>
      <c r="F55" s="24" t="s">
        <v>39</v>
      </c>
      <c r="G55" s="54">
        <v>902610</v>
      </c>
      <c r="H55" s="54"/>
      <c r="I55" s="54"/>
      <c r="J55" s="54"/>
      <c r="K55" s="1">
        <v>290639</v>
      </c>
      <c r="L55" s="1"/>
      <c r="M55" s="1"/>
      <c r="N55" s="1">
        <v>1352</v>
      </c>
      <c r="O55" s="11">
        <v>610619</v>
      </c>
      <c r="P55" s="54">
        <f>SUM(Q55:V55)</f>
        <v>375530</v>
      </c>
      <c r="Q55" s="54"/>
      <c r="R55" s="54"/>
      <c r="S55" s="54"/>
      <c r="T55" s="54">
        <v>37725</v>
      </c>
      <c r="U55" s="1">
        <v>561</v>
      </c>
      <c r="V55" s="11">
        <v>337244</v>
      </c>
    </row>
    <row r="56" spans="2:22" x14ac:dyDescent="0.3">
      <c r="B56" s="63" t="s">
        <v>105</v>
      </c>
      <c r="C56" s="24" t="s">
        <v>114</v>
      </c>
      <c r="D56" s="24" t="s">
        <v>49</v>
      </c>
      <c r="E56" s="24" t="s">
        <v>115</v>
      </c>
      <c r="F56" s="24" t="s">
        <v>25</v>
      </c>
      <c r="G56" s="54">
        <v>5294697</v>
      </c>
      <c r="H56" s="54">
        <v>165356</v>
      </c>
      <c r="I56" s="54"/>
      <c r="J56" s="54">
        <v>219</v>
      </c>
      <c r="K56" s="1">
        <v>492923</v>
      </c>
      <c r="L56" s="1"/>
      <c r="M56" s="1"/>
      <c r="N56" s="1"/>
      <c r="O56" s="11">
        <v>4636199</v>
      </c>
      <c r="P56" s="54">
        <f>SUM(Q56:V56)</f>
        <v>8464755</v>
      </c>
      <c r="Q56" s="54">
        <v>89807</v>
      </c>
      <c r="R56" s="54"/>
      <c r="S56" s="54"/>
      <c r="T56" s="54">
        <v>-62848</v>
      </c>
      <c r="U56" s="1"/>
      <c r="V56" s="11">
        <v>8437796</v>
      </c>
    </row>
    <row r="57" spans="2:22" x14ac:dyDescent="0.3">
      <c r="B57" s="63" t="s">
        <v>105</v>
      </c>
      <c r="C57" s="24" t="s">
        <v>107</v>
      </c>
      <c r="D57" s="24" t="s">
        <v>49</v>
      </c>
      <c r="E57" s="24" t="s">
        <v>116</v>
      </c>
      <c r="F57" s="24" t="s">
        <v>25</v>
      </c>
      <c r="G57" s="54">
        <v>480569</v>
      </c>
      <c r="H57" s="54">
        <v>9514</v>
      </c>
      <c r="I57" s="54"/>
      <c r="J57" s="54">
        <v>4803</v>
      </c>
      <c r="K57" s="1">
        <v>30192</v>
      </c>
      <c r="L57" s="1"/>
      <c r="M57" s="1"/>
      <c r="N57" s="1"/>
      <c r="O57" s="11">
        <v>436060</v>
      </c>
      <c r="P57" s="54">
        <f>SUM(Q57:V57)</f>
        <v>901239.6</v>
      </c>
      <c r="Q57" s="54">
        <v>17934</v>
      </c>
      <c r="R57" s="54"/>
      <c r="S57" s="54">
        <f>4597</f>
        <v>4597</v>
      </c>
      <c r="T57" s="54">
        <v>40105</v>
      </c>
      <c r="U57" s="1"/>
      <c r="V57" s="11">
        <v>838603.6</v>
      </c>
    </row>
    <row r="58" spans="2:22" x14ac:dyDescent="0.3">
      <c r="B58" s="63" t="s">
        <v>105</v>
      </c>
      <c r="C58" s="24" t="s">
        <v>117</v>
      </c>
      <c r="D58" s="24" t="s">
        <v>49</v>
      </c>
      <c r="E58" s="24" t="s">
        <v>118</v>
      </c>
      <c r="F58" s="24" t="s">
        <v>25</v>
      </c>
      <c r="G58" s="54">
        <v>10789373</v>
      </c>
      <c r="H58" s="54">
        <v>136778</v>
      </c>
      <c r="I58" s="54"/>
      <c r="J58" s="54">
        <v>1446696</v>
      </c>
      <c r="K58" s="1">
        <v>962721</v>
      </c>
      <c r="L58" s="1"/>
      <c r="M58" s="1"/>
      <c r="N58" s="1"/>
      <c r="O58" s="11">
        <v>8243178</v>
      </c>
      <c r="P58" s="54">
        <f>SUM(Q58:V58)</f>
        <v>10877069</v>
      </c>
      <c r="Q58" s="54">
        <v>157535</v>
      </c>
      <c r="R58" s="54"/>
      <c r="S58" s="54">
        <f>-809408</f>
        <v>-809408</v>
      </c>
      <c r="T58" s="54">
        <v>297903</v>
      </c>
      <c r="U58" s="1"/>
      <c r="V58" s="11">
        <v>11231039</v>
      </c>
    </row>
    <row r="59" spans="2:22" x14ac:dyDescent="0.3">
      <c r="B59" s="63" t="s">
        <v>105</v>
      </c>
      <c r="C59" s="24" t="s">
        <v>119</v>
      </c>
      <c r="D59" s="24" t="s">
        <v>49</v>
      </c>
      <c r="E59" s="24" t="s">
        <v>120</v>
      </c>
      <c r="F59" s="24" t="s">
        <v>25</v>
      </c>
      <c r="G59" s="54">
        <v>3654067</v>
      </c>
      <c r="H59" s="54">
        <v>12454</v>
      </c>
      <c r="I59" s="54"/>
      <c r="J59" s="54">
        <v>43033</v>
      </c>
      <c r="K59" s="1">
        <v>320571</v>
      </c>
      <c r="L59" s="1"/>
      <c r="M59" s="1"/>
      <c r="N59" s="1"/>
      <c r="O59" s="11">
        <v>3278009</v>
      </c>
      <c r="P59" s="54">
        <f>SUM(Q59:V59)</f>
        <v>4087482</v>
      </c>
      <c r="Q59" s="54">
        <v>13182</v>
      </c>
      <c r="R59" s="54"/>
      <c r="S59" s="54">
        <f>33663</f>
        <v>33663</v>
      </c>
      <c r="T59" s="54">
        <v>196071</v>
      </c>
      <c r="U59" s="1"/>
      <c r="V59" s="11">
        <v>3844566</v>
      </c>
    </row>
    <row r="60" spans="2:22" x14ac:dyDescent="0.3">
      <c r="B60" s="63" t="s">
        <v>105</v>
      </c>
      <c r="C60" s="24" t="s">
        <v>105</v>
      </c>
      <c r="D60" s="24" t="s">
        <v>49</v>
      </c>
      <c r="E60" s="24" t="s">
        <v>121</v>
      </c>
      <c r="F60" s="24" t="s">
        <v>25</v>
      </c>
      <c r="G60" s="60">
        <v>0</v>
      </c>
      <c r="H60" s="54"/>
      <c r="I60" s="54"/>
      <c r="J60" s="54"/>
      <c r="K60" s="1"/>
      <c r="L60" s="1"/>
      <c r="M60" s="1"/>
      <c r="N60" s="1"/>
      <c r="O60" s="11"/>
      <c r="P60" s="54">
        <f>SUM(Q60:V60)</f>
        <v>226885</v>
      </c>
      <c r="Q60" s="54"/>
      <c r="R60" s="54">
        <f>-236942+226885</f>
        <v>-10057</v>
      </c>
      <c r="S60" s="54"/>
      <c r="T60" s="54">
        <v>25233</v>
      </c>
      <c r="U60" s="1"/>
      <c r="V60" s="11">
        <v>211709</v>
      </c>
    </row>
    <row r="61" spans="2:22" x14ac:dyDescent="0.3">
      <c r="B61" s="63" t="s">
        <v>105</v>
      </c>
      <c r="C61" s="24" t="s">
        <v>122</v>
      </c>
      <c r="D61" s="24" t="s">
        <v>49</v>
      </c>
      <c r="E61" s="24" t="s">
        <v>123</v>
      </c>
      <c r="F61" s="24" t="s">
        <v>25</v>
      </c>
      <c r="G61" s="54">
        <v>1338742</v>
      </c>
      <c r="H61" s="54">
        <v>21147</v>
      </c>
      <c r="I61" s="54"/>
      <c r="J61" s="54">
        <v>14754</v>
      </c>
      <c r="K61" s="1">
        <v>120515</v>
      </c>
      <c r="L61" s="1"/>
      <c r="M61" s="1"/>
      <c r="N61" s="1"/>
      <c r="O61" s="11">
        <v>1182326</v>
      </c>
      <c r="P61" s="54">
        <f>SUM(Q61:V61)</f>
        <v>2260970</v>
      </c>
      <c r="Q61" s="54">
        <v>14981</v>
      </c>
      <c r="R61" s="54"/>
      <c r="S61" s="54">
        <f>14068</f>
        <v>14068</v>
      </c>
      <c r="T61" s="54">
        <v>95596</v>
      </c>
      <c r="U61" s="1"/>
      <c r="V61" s="11">
        <v>2136325</v>
      </c>
    </row>
    <row r="62" spans="2:22" x14ac:dyDescent="0.3">
      <c r="B62" s="63" t="s">
        <v>105</v>
      </c>
      <c r="C62" s="24" t="s">
        <v>105</v>
      </c>
      <c r="D62" s="24" t="s">
        <v>49</v>
      </c>
      <c r="E62" s="24" t="s">
        <v>124</v>
      </c>
      <c r="F62" s="24" t="s">
        <v>25</v>
      </c>
      <c r="G62" s="54">
        <v>920404</v>
      </c>
      <c r="H62" s="54">
        <v>3713</v>
      </c>
      <c r="I62" s="54"/>
      <c r="J62" s="54">
        <v>5620</v>
      </c>
      <c r="K62" s="1">
        <v>76688</v>
      </c>
      <c r="L62" s="1"/>
      <c r="M62" s="1"/>
      <c r="N62" s="1"/>
      <c r="O62" s="11">
        <v>834383</v>
      </c>
      <c r="P62" s="54">
        <f>SUM(Q62:V62)</f>
        <v>1409995.48</v>
      </c>
      <c r="Q62" s="54">
        <v>3984</v>
      </c>
      <c r="R62" s="54"/>
      <c r="S62" s="54">
        <f>12956</f>
        <v>12956</v>
      </c>
      <c r="T62" s="54">
        <v>70552</v>
      </c>
      <c r="U62" s="1"/>
      <c r="V62" s="11">
        <v>1322503.48</v>
      </c>
    </row>
    <row r="63" spans="2:22" x14ac:dyDescent="0.3">
      <c r="B63" s="63" t="s">
        <v>105</v>
      </c>
      <c r="C63" s="63" t="s">
        <v>105</v>
      </c>
      <c r="D63" s="24" t="s">
        <v>49</v>
      </c>
      <c r="E63" s="24" t="s">
        <v>50</v>
      </c>
      <c r="F63" s="24" t="s">
        <v>25</v>
      </c>
      <c r="G63" s="54"/>
      <c r="H63" s="54"/>
      <c r="I63" s="54"/>
      <c r="J63" s="54"/>
      <c r="K63" s="1"/>
      <c r="L63" s="1"/>
      <c r="M63" s="1"/>
      <c r="N63" s="1"/>
      <c r="O63" s="11"/>
      <c r="P63" s="16">
        <f>SUM(Q63:V63)</f>
        <v>151371.94380000001</v>
      </c>
      <c r="Q63" s="54"/>
      <c r="R63" s="30">
        <f>-25.41%*142018</f>
        <v>-36086.773799999995</v>
      </c>
      <c r="S63" s="11">
        <f>25.41%*3666</f>
        <v>931.53059999999994</v>
      </c>
      <c r="T63" s="11">
        <f>25.41%*72256</f>
        <v>18360.249599999999</v>
      </c>
      <c r="U63" s="1"/>
      <c r="V63" s="11">
        <f>25.41%*661814</f>
        <v>168166.9374</v>
      </c>
    </row>
    <row r="64" spans="2:22" x14ac:dyDescent="0.3">
      <c r="B64" s="63" t="s">
        <v>105</v>
      </c>
      <c r="C64" s="24" t="s">
        <v>105</v>
      </c>
      <c r="D64" s="24" t="s">
        <v>49</v>
      </c>
      <c r="E64" s="24" t="s">
        <v>125</v>
      </c>
      <c r="F64" s="24" t="s">
        <v>25</v>
      </c>
      <c r="G64" s="54">
        <v>446359</v>
      </c>
      <c r="H64" s="54">
        <v>105</v>
      </c>
      <c r="I64" s="54"/>
      <c r="J64" s="54">
        <v>6121</v>
      </c>
      <c r="K64" s="1">
        <v>55129</v>
      </c>
      <c r="L64" s="1"/>
      <c r="M64" s="1"/>
      <c r="N64" s="1"/>
      <c r="O64" s="11">
        <v>385004</v>
      </c>
      <c r="P64" s="54">
        <f>SUM(Q64:V64)</f>
        <v>604168.75</v>
      </c>
      <c r="Q64" s="54"/>
      <c r="R64" s="54"/>
      <c r="S64" s="54">
        <f>5617</f>
        <v>5617</v>
      </c>
      <c r="T64" s="54">
        <v>29341</v>
      </c>
      <c r="U64" s="1"/>
      <c r="V64" s="11">
        <v>569210.75</v>
      </c>
    </row>
    <row r="65" spans="2:22" x14ac:dyDescent="0.3">
      <c r="B65" s="63" t="s">
        <v>105</v>
      </c>
      <c r="C65" s="24" t="s">
        <v>105</v>
      </c>
      <c r="D65" s="24" t="s">
        <v>49</v>
      </c>
      <c r="E65" s="24" t="s">
        <v>126</v>
      </c>
      <c r="F65" s="24" t="s">
        <v>25</v>
      </c>
      <c r="G65" s="54">
        <v>1316962</v>
      </c>
      <c r="H65" s="54">
        <v>910</v>
      </c>
      <c r="I65" s="54"/>
      <c r="J65" s="54">
        <v>16753</v>
      </c>
      <c r="K65" s="1">
        <v>151110</v>
      </c>
      <c r="L65" s="1"/>
      <c r="M65" s="1"/>
      <c r="N65" s="1"/>
      <c r="O65" s="11">
        <v>1148189</v>
      </c>
      <c r="P65" s="54">
        <f>SUM(Q65:V65)</f>
        <v>1819792.2800000003</v>
      </c>
      <c r="Q65" s="54"/>
      <c r="R65" s="54"/>
      <c r="S65" s="54"/>
      <c r="T65" s="54">
        <v>90816</v>
      </c>
      <c r="U65" s="1"/>
      <c r="V65" s="11">
        <v>1728976.2800000003</v>
      </c>
    </row>
    <row r="66" spans="2:22" x14ac:dyDescent="0.3">
      <c r="B66" s="63" t="s">
        <v>105</v>
      </c>
      <c r="C66" s="24" t="s">
        <v>105</v>
      </c>
      <c r="D66" s="24" t="s">
        <v>49</v>
      </c>
      <c r="E66" s="24" t="s">
        <v>127</v>
      </c>
      <c r="F66" s="24" t="s">
        <v>25</v>
      </c>
      <c r="G66" s="54">
        <v>55932.58</v>
      </c>
      <c r="H66" s="62"/>
      <c r="I66" s="62"/>
      <c r="J66" s="62">
        <v>825</v>
      </c>
      <c r="K66" s="64">
        <v>7004.03</v>
      </c>
      <c r="L66" s="12"/>
      <c r="M66" s="12"/>
      <c r="N66" s="12"/>
      <c r="O66" s="65">
        <v>48103.55</v>
      </c>
      <c r="P66" s="54">
        <f>SUM(Q66:V66)</f>
        <v>127679.53000000001</v>
      </c>
      <c r="Q66" s="62"/>
      <c r="R66" s="62"/>
      <c r="S66" s="62"/>
      <c r="T66" s="62">
        <v>5773.46</v>
      </c>
      <c r="U66" s="12"/>
      <c r="V66" s="65">
        <v>121906.07</v>
      </c>
    </row>
    <row r="67" spans="2:22" x14ac:dyDescent="0.3">
      <c r="B67" s="63" t="s">
        <v>105</v>
      </c>
      <c r="C67" s="24" t="s">
        <v>105</v>
      </c>
      <c r="D67" s="24" t="s">
        <v>49</v>
      </c>
      <c r="E67" s="24" t="s">
        <v>128</v>
      </c>
      <c r="F67" s="24" t="s">
        <v>25</v>
      </c>
      <c r="G67" s="54">
        <v>120972</v>
      </c>
      <c r="H67" s="62"/>
      <c r="I67" s="62"/>
      <c r="J67" s="62">
        <v>1719</v>
      </c>
      <c r="K67" s="64">
        <v>12092</v>
      </c>
      <c r="L67" s="12"/>
      <c r="M67" s="12"/>
      <c r="N67" s="12"/>
      <c r="O67" s="65">
        <v>107161</v>
      </c>
      <c r="P67" s="54">
        <f>SUM(Q67:V67)</f>
        <v>200899.90000000002</v>
      </c>
      <c r="Q67" s="62"/>
      <c r="R67" s="62"/>
      <c r="S67" s="62"/>
      <c r="T67" s="62">
        <v>9887</v>
      </c>
      <c r="U67" s="12"/>
      <c r="V67" s="65">
        <v>191012.90000000002</v>
      </c>
    </row>
    <row r="68" spans="2:22" x14ac:dyDescent="0.3">
      <c r="B68" s="63" t="s">
        <v>105</v>
      </c>
      <c r="C68" s="24" t="s">
        <v>105</v>
      </c>
      <c r="D68" s="24" t="s">
        <v>46</v>
      </c>
      <c r="E68" s="24" t="s">
        <v>129</v>
      </c>
      <c r="F68" s="24" t="s">
        <v>48</v>
      </c>
      <c r="G68" s="54">
        <v>143005</v>
      </c>
      <c r="H68" s="62"/>
      <c r="I68" s="62"/>
      <c r="J68" s="62"/>
      <c r="K68" s="64">
        <v>15038</v>
      </c>
      <c r="L68" s="12"/>
      <c r="M68" s="12"/>
      <c r="N68" s="12"/>
      <c r="O68" s="65">
        <v>127967</v>
      </c>
      <c r="P68" s="54">
        <f>SUM(Q68:V68)</f>
        <v>538524</v>
      </c>
      <c r="Q68" s="62"/>
      <c r="R68" s="62"/>
      <c r="S68" s="62"/>
      <c r="T68" s="62">
        <v>23900</v>
      </c>
      <c r="U68" s="12"/>
      <c r="V68" s="65">
        <v>514624</v>
      </c>
    </row>
    <row r="69" spans="2:22" ht="13.5" thickBot="1" x14ac:dyDescent="0.35">
      <c r="B69" s="63" t="s">
        <v>105</v>
      </c>
      <c r="C69" s="24" t="s">
        <v>105</v>
      </c>
      <c r="D69" s="28" t="s">
        <v>46</v>
      </c>
      <c r="E69" s="28" t="s">
        <v>130</v>
      </c>
      <c r="F69" s="28" t="s">
        <v>48</v>
      </c>
      <c r="G69" s="59">
        <v>115024</v>
      </c>
      <c r="H69" s="66"/>
      <c r="I69" s="66"/>
      <c r="J69" s="66"/>
      <c r="K69" s="67">
        <v>9731</v>
      </c>
      <c r="L69" s="13"/>
      <c r="M69" s="13"/>
      <c r="N69" s="13"/>
      <c r="O69" s="68">
        <v>105293</v>
      </c>
      <c r="P69" s="59">
        <f>SUM(Q69:V69)</f>
        <v>210879</v>
      </c>
      <c r="Q69" s="66"/>
      <c r="R69" s="66"/>
      <c r="S69" s="66"/>
      <c r="T69" s="66">
        <v>17842</v>
      </c>
      <c r="U69" s="13"/>
      <c r="V69" s="68">
        <v>193037</v>
      </c>
    </row>
    <row r="70" spans="2:22" x14ac:dyDescent="0.3">
      <c r="B70" s="53" t="s">
        <v>131</v>
      </c>
      <c r="C70" s="31" t="s">
        <v>131</v>
      </c>
      <c r="D70" s="31" t="s">
        <v>132</v>
      </c>
      <c r="E70" s="31" t="s">
        <v>133</v>
      </c>
      <c r="F70" s="31" t="s">
        <v>133</v>
      </c>
      <c r="G70" s="60">
        <v>0</v>
      </c>
      <c r="H70" s="16">
        <v>0</v>
      </c>
      <c r="I70" s="16"/>
      <c r="J70" s="16"/>
      <c r="K70" s="8">
        <v>0</v>
      </c>
      <c r="L70" s="8"/>
      <c r="M70" s="8"/>
      <c r="N70" s="8"/>
      <c r="O70" s="9">
        <v>0</v>
      </c>
      <c r="P70" s="16">
        <f>SUM(Q70:V70)</f>
        <v>57716</v>
      </c>
      <c r="Q70" s="16">
        <v>0</v>
      </c>
      <c r="R70" s="16"/>
      <c r="S70" s="16"/>
      <c r="T70" s="16">
        <v>0</v>
      </c>
      <c r="U70" s="8"/>
      <c r="V70" s="9">
        <v>57716</v>
      </c>
    </row>
    <row r="71" spans="2:22" ht="13.5" thickBot="1" x14ac:dyDescent="0.35">
      <c r="B71" s="53" t="s">
        <v>134</v>
      </c>
      <c r="C71" s="25" t="s">
        <v>134</v>
      </c>
      <c r="D71" s="25" t="s">
        <v>135</v>
      </c>
      <c r="E71" s="25" t="s">
        <v>136</v>
      </c>
      <c r="F71" s="25" t="s">
        <v>137</v>
      </c>
      <c r="G71" s="55">
        <v>3610959</v>
      </c>
      <c r="H71" s="55">
        <v>0</v>
      </c>
      <c r="I71" s="55"/>
      <c r="J71" s="55"/>
      <c r="K71" s="2">
        <v>0</v>
      </c>
      <c r="L71" s="2"/>
      <c r="M71" s="2"/>
      <c r="N71" s="2"/>
      <c r="O71" s="26">
        <v>3610959</v>
      </c>
      <c r="P71" s="55">
        <f>SUM(Q71:V71)</f>
        <v>3654516</v>
      </c>
      <c r="Q71" s="55">
        <v>0</v>
      </c>
      <c r="R71" s="55"/>
      <c r="S71" s="55"/>
      <c r="T71" s="55">
        <v>0</v>
      </c>
      <c r="U71" s="2"/>
      <c r="V71" s="26">
        <v>3654516</v>
      </c>
    </row>
    <row r="72" spans="2:22" x14ac:dyDescent="0.3">
      <c r="B72" s="56" t="s">
        <v>138</v>
      </c>
      <c r="C72" s="27" t="s">
        <v>138</v>
      </c>
      <c r="D72" s="27" t="s">
        <v>49</v>
      </c>
      <c r="E72" s="27" t="s">
        <v>50</v>
      </c>
      <c r="F72" s="27" t="s">
        <v>25</v>
      </c>
      <c r="G72" s="58">
        <v>555668</v>
      </c>
      <c r="H72" s="57"/>
      <c r="I72" s="57"/>
      <c r="J72" s="57"/>
      <c r="K72" s="3">
        <v>65306</v>
      </c>
      <c r="L72" s="3"/>
      <c r="M72" s="3"/>
      <c r="N72" s="3"/>
      <c r="O72" s="4">
        <v>490362</v>
      </c>
      <c r="P72" s="57">
        <f>SUM(Q72:V72)</f>
        <v>796433</v>
      </c>
      <c r="Q72" s="57"/>
      <c r="R72" s="57"/>
      <c r="S72" s="57">
        <f>8136</f>
        <v>8136</v>
      </c>
      <c r="T72" s="57">
        <f>40551-T49</f>
        <v>37839</v>
      </c>
      <c r="U72" s="3"/>
      <c r="V72" s="4">
        <f>830718-V49</f>
        <v>750458</v>
      </c>
    </row>
    <row r="73" spans="2:22" ht="13.5" thickBot="1" x14ac:dyDescent="0.35">
      <c r="B73" s="56"/>
      <c r="C73" s="28" t="s">
        <v>138</v>
      </c>
      <c r="D73" s="28" t="s">
        <v>46</v>
      </c>
      <c r="E73" s="28" t="s">
        <v>139</v>
      </c>
      <c r="F73" s="28" t="s">
        <v>48</v>
      </c>
      <c r="G73" s="69">
        <v>104388</v>
      </c>
      <c r="H73" s="59"/>
      <c r="I73" s="59"/>
      <c r="J73" s="59"/>
      <c r="K73" s="5">
        <v>423</v>
      </c>
      <c r="L73" s="5"/>
      <c r="M73" s="5"/>
      <c r="N73" s="5"/>
      <c r="O73" s="6">
        <v>103965</v>
      </c>
      <c r="P73" s="69">
        <f>SUM(Q73:V73)</f>
        <v>69713</v>
      </c>
      <c r="Q73" s="59"/>
      <c r="R73" s="59"/>
      <c r="S73" s="59"/>
      <c r="T73" s="59">
        <v>2809</v>
      </c>
      <c r="U73" s="5"/>
      <c r="V73" s="6">
        <v>66904</v>
      </c>
    </row>
    <row r="74" spans="2:22" ht="13.5" thickBot="1" x14ac:dyDescent="0.35">
      <c r="B74" s="53" t="s">
        <v>140</v>
      </c>
      <c r="C74" s="29" t="s">
        <v>140</v>
      </c>
      <c r="D74" s="29" t="s">
        <v>89</v>
      </c>
      <c r="E74" s="29" t="s">
        <v>43</v>
      </c>
      <c r="F74" s="29" t="s">
        <v>44</v>
      </c>
      <c r="G74" s="60">
        <v>0</v>
      </c>
      <c r="H74" s="60">
        <v>0</v>
      </c>
      <c r="I74" s="60"/>
      <c r="J74" s="60"/>
      <c r="K74" s="7">
        <v>0</v>
      </c>
      <c r="L74" s="7"/>
      <c r="M74" s="7"/>
      <c r="N74" s="7"/>
      <c r="O74" s="30">
        <v>0</v>
      </c>
      <c r="P74" s="60">
        <f>SUM(Q74:V74)</f>
        <v>46969</v>
      </c>
      <c r="Q74" s="60">
        <v>0</v>
      </c>
      <c r="R74" s="60"/>
      <c r="S74" s="60"/>
      <c r="T74" s="60">
        <v>0</v>
      </c>
      <c r="U74" s="7"/>
      <c r="V74" s="30">
        <v>46969</v>
      </c>
    </row>
    <row r="75" spans="2:22" x14ac:dyDescent="0.3">
      <c r="B75" s="56" t="s">
        <v>141</v>
      </c>
      <c r="C75" s="27" t="s">
        <v>141</v>
      </c>
      <c r="D75" s="27" t="s">
        <v>49</v>
      </c>
      <c r="E75" s="27" t="s">
        <v>55</v>
      </c>
      <c r="F75" s="27" t="s">
        <v>25</v>
      </c>
      <c r="G75" s="58">
        <v>851164</v>
      </c>
      <c r="H75" s="57"/>
      <c r="I75" s="57"/>
      <c r="J75" s="57">
        <v>9980</v>
      </c>
      <c r="K75" s="3">
        <v>78811</v>
      </c>
      <c r="L75" s="3"/>
      <c r="M75" s="3"/>
      <c r="N75" s="3"/>
      <c r="O75" s="4">
        <v>762373</v>
      </c>
      <c r="P75" s="57">
        <f>SUM(Q75:V75)</f>
        <v>1238781</v>
      </c>
      <c r="Q75" s="57">
        <v>31</v>
      </c>
      <c r="R75" s="57"/>
      <c r="S75" s="57">
        <v>9941</v>
      </c>
      <c r="T75" s="57">
        <v>58955</v>
      </c>
      <c r="U75" s="3"/>
      <c r="V75" s="4">
        <v>1169854</v>
      </c>
    </row>
    <row r="76" spans="2:22" x14ac:dyDescent="0.3">
      <c r="B76" s="56"/>
      <c r="C76" s="24" t="s">
        <v>141</v>
      </c>
      <c r="D76" s="24" t="s">
        <v>49</v>
      </c>
      <c r="E76" s="24" t="s">
        <v>142</v>
      </c>
      <c r="F76" s="24"/>
      <c r="G76" s="60">
        <v>58420</v>
      </c>
      <c r="H76" s="54"/>
      <c r="I76" s="54"/>
      <c r="J76" s="54"/>
      <c r="K76" s="1"/>
      <c r="L76" s="1"/>
      <c r="M76" s="1"/>
      <c r="N76" s="1"/>
      <c r="O76" s="11">
        <v>58420</v>
      </c>
      <c r="P76" s="16">
        <f>SUM(Q76:V76)</f>
        <v>158112</v>
      </c>
      <c r="Q76" s="54"/>
      <c r="R76" s="54"/>
      <c r="S76" s="54"/>
      <c r="T76" s="54">
        <v>0</v>
      </c>
      <c r="U76" s="1"/>
      <c r="V76" s="11">
        <v>158112</v>
      </c>
    </row>
    <row r="77" spans="2:22" ht="13.5" thickBot="1" x14ac:dyDescent="0.35">
      <c r="B77" s="56"/>
      <c r="C77" s="28" t="s">
        <v>141</v>
      </c>
      <c r="D77" s="28" t="s">
        <v>37</v>
      </c>
      <c r="E77" s="28" t="s">
        <v>38</v>
      </c>
      <c r="F77" s="28" t="s">
        <v>39</v>
      </c>
      <c r="G77" s="69">
        <v>89530</v>
      </c>
      <c r="H77" s="59"/>
      <c r="I77" s="59"/>
      <c r="J77" s="59"/>
      <c r="K77" s="5">
        <v>22112</v>
      </c>
      <c r="L77" s="5"/>
      <c r="M77" s="5"/>
      <c r="N77" s="5">
        <v>91</v>
      </c>
      <c r="O77" s="6">
        <v>67327</v>
      </c>
      <c r="P77" s="69">
        <f>SUM(Q77:V77)</f>
        <v>31566</v>
      </c>
      <c r="Q77" s="59"/>
      <c r="R77" s="59"/>
      <c r="S77" s="59"/>
      <c r="T77" s="59">
        <v>2891</v>
      </c>
      <c r="U77" s="5"/>
      <c r="V77" s="6">
        <v>28675</v>
      </c>
    </row>
    <row r="78" spans="2:22" x14ac:dyDescent="0.3">
      <c r="B78" s="56" t="s">
        <v>143</v>
      </c>
      <c r="C78" s="27" t="s">
        <v>143</v>
      </c>
      <c r="D78" s="27" t="s">
        <v>49</v>
      </c>
      <c r="E78" s="27" t="s">
        <v>50</v>
      </c>
      <c r="F78" s="27" t="s">
        <v>25</v>
      </c>
      <c r="G78" s="57">
        <v>668775</v>
      </c>
      <c r="H78" s="57"/>
      <c r="I78" s="57"/>
      <c r="J78" s="57">
        <v>7648</v>
      </c>
      <c r="K78" s="3">
        <v>59247</v>
      </c>
      <c r="L78" s="3"/>
      <c r="M78" s="3"/>
      <c r="N78" s="3"/>
      <c r="O78" s="4">
        <v>601880</v>
      </c>
      <c r="P78" s="57">
        <f>SUM(Q78:V78)</f>
        <v>1028616</v>
      </c>
      <c r="Q78" s="57">
        <v>0</v>
      </c>
      <c r="R78" s="57"/>
      <c r="S78" s="57">
        <f>8593</f>
        <v>8593</v>
      </c>
      <c r="T78" s="57">
        <v>48516</v>
      </c>
      <c r="U78" s="3"/>
      <c r="V78" s="4">
        <v>971507</v>
      </c>
    </row>
    <row r="79" spans="2:22" ht="13.5" thickBot="1" x14ac:dyDescent="0.35">
      <c r="B79" s="56"/>
      <c r="C79" s="34" t="s">
        <v>143</v>
      </c>
      <c r="D79" s="34" t="s">
        <v>37</v>
      </c>
      <c r="E79" s="34" t="s">
        <v>63</v>
      </c>
      <c r="F79" s="34" t="s">
        <v>39</v>
      </c>
      <c r="G79" s="69">
        <v>79014</v>
      </c>
      <c r="H79" s="69"/>
      <c r="I79" s="69"/>
      <c r="J79" s="69"/>
      <c r="K79" s="14">
        <v>18165</v>
      </c>
      <c r="L79" s="14"/>
      <c r="M79" s="14"/>
      <c r="N79" s="14">
        <v>79</v>
      </c>
      <c r="O79" s="15">
        <v>60770</v>
      </c>
      <c r="P79" s="69">
        <f>SUM(Q79:V79)</f>
        <v>0</v>
      </c>
      <c r="Q79" s="69"/>
      <c r="R79" s="69"/>
      <c r="S79" s="69"/>
      <c r="T79" s="69"/>
      <c r="U79" s="14"/>
      <c r="V79" s="15"/>
    </row>
    <row r="80" spans="2:22" x14ac:dyDescent="0.3">
      <c r="B80" s="53" t="s">
        <v>144</v>
      </c>
      <c r="C80" s="31" t="s">
        <v>144</v>
      </c>
      <c r="D80" s="31" t="s">
        <v>145</v>
      </c>
      <c r="E80" s="31" t="s">
        <v>146</v>
      </c>
      <c r="F80" s="31" t="s">
        <v>147</v>
      </c>
      <c r="G80" s="16">
        <v>17357544.601399999</v>
      </c>
      <c r="H80" s="16">
        <v>0</v>
      </c>
      <c r="I80" s="16"/>
      <c r="J80" s="16"/>
      <c r="K80" s="8">
        <v>0</v>
      </c>
      <c r="L80" s="8"/>
      <c r="M80" s="8"/>
      <c r="N80" s="8"/>
      <c r="O80" s="9">
        <v>17357544.601399999</v>
      </c>
      <c r="P80" s="16">
        <f>SUM(Q80:V80)</f>
        <v>17736198</v>
      </c>
      <c r="Q80" s="16">
        <v>0</v>
      </c>
      <c r="R80" s="16"/>
      <c r="S80" s="16"/>
      <c r="T80" s="16">
        <v>0</v>
      </c>
      <c r="U80" s="8"/>
      <c r="V80" s="9">
        <v>17736198</v>
      </c>
    </row>
    <row r="81" spans="2:22" ht="13.5" thickBot="1" x14ac:dyDescent="0.35">
      <c r="B81" s="53" t="s">
        <v>148</v>
      </c>
      <c r="C81" s="25" t="s">
        <v>148</v>
      </c>
      <c r="D81" s="25" t="s">
        <v>145</v>
      </c>
      <c r="E81" s="25" t="s">
        <v>146</v>
      </c>
      <c r="F81" s="25" t="s">
        <v>147</v>
      </c>
      <c r="G81" s="55">
        <v>2618236</v>
      </c>
      <c r="H81" s="55">
        <v>0</v>
      </c>
      <c r="I81" s="55"/>
      <c r="J81" s="55"/>
      <c r="K81" s="2">
        <v>0</v>
      </c>
      <c r="L81" s="2"/>
      <c r="M81" s="2"/>
      <c r="N81" s="2"/>
      <c r="O81" s="26">
        <v>2618236</v>
      </c>
      <c r="P81" s="55">
        <f>SUM(Q81:V81)</f>
        <v>3139918</v>
      </c>
      <c r="Q81" s="55">
        <v>0</v>
      </c>
      <c r="R81" s="55"/>
      <c r="S81" s="55"/>
      <c r="T81" s="55">
        <v>0</v>
      </c>
      <c r="U81" s="2"/>
      <c r="V81" s="26">
        <v>3139918</v>
      </c>
    </row>
    <row r="82" spans="2:22" x14ac:dyDescent="0.3">
      <c r="B82" s="56" t="s">
        <v>149</v>
      </c>
      <c r="C82" s="27" t="s">
        <v>149</v>
      </c>
      <c r="D82" s="27" t="s">
        <v>49</v>
      </c>
      <c r="E82" s="27" t="s">
        <v>50</v>
      </c>
      <c r="F82" s="27" t="s">
        <v>25</v>
      </c>
      <c r="G82" s="58">
        <v>9616120</v>
      </c>
      <c r="H82" s="57">
        <v>185</v>
      </c>
      <c r="I82" s="57"/>
      <c r="J82" s="57">
        <v>118164</v>
      </c>
      <c r="K82" s="3">
        <v>1079781</v>
      </c>
      <c r="L82" s="3"/>
      <c r="M82" s="3"/>
      <c r="N82" s="3"/>
      <c r="O82" s="4">
        <v>8417990</v>
      </c>
      <c r="P82" s="57">
        <f>SUM(Q82:V82)</f>
        <v>5578620</v>
      </c>
      <c r="Q82" s="57"/>
      <c r="R82" s="57">
        <v>-315166</v>
      </c>
      <c r="S82" s="57">
        <v>47260</v>
      </c>
      <c r="T82" s="57">
        <v>586271</v>
      </c>
      <c r="U82" s="3"/>
      <c r="V82" s="4">
        <f>5260255</f>
        <v>5260255</v>
      </c>
    </row>
    <row r="83" spans="2:22" x14ac:dyDescent="0.3">
      <c r="B83" s="56"/>
      <c r="C83" s="24" t="s">
        <v>149</v>
      </c>
      <c r="D83" s="24" t="s">
        <v>46</v>
      </c>
      <c r="E83" s="24" t="s">
        <v>51</v>
      </c>
      <c r="F83" s="24" t="s">
        <v>48</v>
      </c>
      <c r="G83" s="60">
        <v>3518037</v>
      </c>
      <c r="H83" s="54">
        <v>4</v>
      </c>
      <c r="I83" s="54"/>
      <c r="J83" s="54">
        <v>8823</v>
      </c>
      <c r="K83" s="1">
        <v>329561</v>
      </c>
      <c r="L83" s="1"/>
      <c r="M83" s="1"/>
      <c r="N83" s="1"/>
      <c r="O83" s="11">
        <v>3179649</v>
      </c>
      <c r="P83" s="16">
        <f>SUM(Q83:V83)</f>
        <v>6442837</v>
      </c>
      <c r="Q83" s="54"/>
      <c r="R83" s="54"/>
      <c r="S83" s="54"/>
      <c r="T83" s="54">
        <v>422185</v>
      </c>
      <c r="U83" s="1"/>
      <c r="V83" s="11">
        <v>6020652</v>
      </c>
    </row>
    <row r="84" spans="2:22" x14ac:dyDescent="0.3">
      <c r="B84" s="56"/>
      <c r="C84" s="24" t="s">
        <v>149</v>
      </c>
      <c r="D84" s="24" t="s">
        <v>23</v>
      </c>
      <c r="E84" s="24" t="s">
        <v>150</v>
      </c>
      <c r="F84" s="24" t="s">
        <v>151</v>
      </c>
      <c r="G84" s="60">
        <v>984646.66</v>
      </c>
      <c r="H84" s="54"/>
      <c r="I84" s="54"/>
      <c r="J84" s="54">
        <v>31.66</v>
      </c>
      <c r="K84" s="1">
        <v>0</v>
      </c>
      <c r="L84" s="1"/>
      <c r="M84" s="1"/>
      <c r="N84" s="1"/>
      <c r="O84" s="11">
        <v>984615</v>
      </c>
      <c r="P84" s="16">
        <f>SUM(Q84:V84)</f>
        <v>944749</v>
      </c>
      <c r="Q84" s="54"/>
      <c r="R84" s="54"/>
      <c r="S84" s="54"/>
      <c r="T84" s="54"/>
      <c r="U84" s="1"/>
      <c r="V84" s="11">
        <v>944749</v>
      </c>
    </row>
    <row r="85" spans="2:22" ht="13.5" thickBot="1" x14ac:dyDescent="0.35">
      <c r="B85" s="56"/>
      <c r="C85" s="28" t="s">
        <v>149</v>
      </c>
      <c r="D85" s="28" t="s">
        <v>23</v>
      </c>
      <c r="E85" s="28" t="s">
        <v>24</v>
      </c>
      <c r="F85" s="28" t="s">
        <v>25</v>
      </c>
      <c r="G85" s="69">
        <v>517873.86780000001</v>
      </c>
      <c r="H85" s="59">
        <v>6510</v>
      </c>
      <c r="I85" s="59"/>
      <c r="J85" s="59">
        <v>2360.8678000000004</v>
      </c>
      <c r="K85" s="5">
        <v>443144</v>
      </c>
      <c r="L85" s="5"/>
      <c r="M85" s="5"/>
      <c r="N85" s="5"/>
      <c r="O85" s="6">
        <v>65859</v>
      </c>
      <c r="P85" s="69">
        <f>SUM(Q85:V85)</f>
        <v>0</v>
      </c>
      <c r="Q85" s="59"/>
      <c r="R85" s="59"/>
      <c r="S85" s="59"/>
      <c r="T85" s="59"/>
      <c r="U85" s="5"/>
      <c r="V85" s="6">
        <v>0</v>
      </c>
    </row>
    <row r="86" spans="2:22" ht="13.5" thickBot="1" x14ac:dyDescent="0.35">
      <c r="B86" s="53" t="s">
        <v>152</v>
      </c>
      <c r="C86" s="29" t="s">
        <v>152</v>
      </c>
      <c r="D86" s="29" t="s">
        <v>153</v>
      </c>
      <c r="E86" s="29" t="s">
        <v>154</v>
      </c>
      <c r="F86" s="29" t="s">
        <v>155</v>
      </c>
      <c r="G86" s="60">
        <v>33921498</v>
      </c>
      <c r="H86" s="60">
        <v>0</v>
      </c>
      <c r="I86" s="60"/>
      <c r="J86" s="60"/>
      <c r="K86" s="7">
        <v>0</v>
      </c>
      <c r="L86" s="7"/>
      <c r="M86" s="7"/>
      <c r="N86" s="7"/>
      <c r="O86" s="30">
        <v>33921498</v>
      </c>
      <c r="P86" s="60">
        <f>SUM(Q86:V86)</f>
        <v>45548252</v>
      </c>
      <c r="Q86" s="60">
        <v>0</v>
      </c>
      <c r="R86" s="60"/>
      <c r="S86" s="60"/>
      <c r="T86" s="60">
        <v>0</v>
      </c>
      <c r="U86" s="7"/>
      <c r="V86" s="30">
        <v>45548252</v>
      </c>
    </row>
    <row r="87" spans="2:22" ht="49.5" customHeight="1" x14ac:dyDescent="0.3">
      <c r="B87" s="56" t="s">
        <v>156</v>
      </c>
      <c r="C87" s="27" t="s">
        <v>156</v>
      </c>
      <c r="D87" s="27" t="s">
        <v>49</v>
      </c>
      <c r="E87" s="27" t="s">
        <v>50</v>
      </c>
      <c r="F87" s="27" t="s">
        <v>25</v>
      </c>
      <c r="G87" s="58">
        <v>27253901</v>
      </c>
      <c r="H87" s="57">
        <v>856201</v>
      </c>
      <c r="I87" s="57">
        <v>1445031</v>
      </c>
      <c r="J87" s="57">
        <v>1167567</v>
      </c>
      <c r="K87" s="3">
        <v>2428601</v>
      </c>
      <c r="L87" s="3"/>
      <c r="M87" s="3"/>
      <c r="N87" s="3"/>
      <c r="O87" s="4">
        <v>21356501</v>
      </c>
      <c r="P87" s="57">
        <f>SUM(Q87:V87)</f>
        <v>34248210</v>
      </c>
      <c r="Q87" s="57">
        <v>566043</v>
      </c>
      <c r="R87" s="57"/>
      <c r="S87" s="3">
        <f>603956</f>
        <v>603956</v>
      </c>
      <c r="T87" s="57">
        <v>68611</v>
      </c>
      <c r="U87" s="3"/>
      <c r="V87" s="4">
        <v>33009600</v>
      </c>
    </row>
    <row r="88" spans="2:22" x14ac:dyDescent="0.3">
      <c r="B88" s="56"/>
      <c r="C88" s="24" t="s">
        <v>156</v>
      </c>
      <c r="D88" s="24" t="s">
        <v>157</v>
      </c>
      <c r="E88" s="24" t="s">
        <v>158</v>
      </c>
      <c r="F88" s="24" t="s">
        <v>25</v>
      </c>
      <c r="G88" s="54">
        <v>8737001</v>
      </c>
      <c r="H88" s="54">
        <v>0</v>
      </c>
      <c r="I88" s="54"/>
      <c r="J88" s="54"/>
      <c r="K88" s="1">
        <v>0</v>
      </c>
      <c r="L88" s="1"/>
      <c r="M88" s="1"/>
      <c r="N88" s="1"/>
      <c r="O88" s="11">
        <v>8737001</v>
      </c>
      <c r="P88" s="16">
        <f>SUM(Q88:V88)</f>
        <v>6325996</v>
      </c>
      <c r="Q88" s="54">
        <v>0</v>
      </c>
      <c r="R88" s="54"/>
      <c r="S88" s="54"/>
      <c r="T88" s="54">
        <v>0</v>
      </c>
      <c r="U88" s="1"/>
      <c r="V88" s="11">
        <v>6325996</v>
      </c>
    </row>
    <row r="89" spans="2:22" x14ac:dyDescent="0.3">
      <c r="B89" s="56"/>
      <c r="C89" s="24" t="s">
        <v>156</v>
      </c>
      <c r="D89" s="24" t="s">
        <v>23</v>
      </c>
      <c r="E89" s="24" t="s">
        <v>65</v>
      </c>
      <c r="F89" s="24" t="s">
        <v>25</v>
      </c>
      <c r="G89" s="55">
        <v>11204470</v>
      </c>
      <c r="H89" s="54">
        <v>5926923</v>
      </c>
      <c r="I89" s="54"/>
      <c r="J89" s="54">
        <v>1189</v>
      </c>
      <c r="K89" s="1">
        <v>3261023</v>
      </c>
      <c r="L89" s="1"/>
      <c r="M89" s="1"/>
      <c r="N89" s="1"/>
      <c r="O89" s="11">
        <v>2015335</v>
      </c>
      <c r="P89" s="16">
        <f>SUM(Q89:V89)</f>
        <v>11200232</v>
      </c>
      <c r="Q89" s="54">
        <v>644783</v>
      </c>
      <c r="R89" s="54"/>
      <c r="S89" s="54">
        <f>6351</f>
        <v>6351</v>
      </c>
      <c r="T89" s="54">
        <v>335424</v>
      </c>
      <c r="U89" s="1"/>
      <c r="V89" s="11">
        <v>10213674</v>
      </c>
    </row>
    <row r="90" spans="2:22" ht="13.5" thickBot="1" x14ac:dyDescent="0.35">
      <c r="B90" s="56"/>
      <c r="C90" s="28" t="s">
        <v>156</v>
      </c>
      <c r="D90" s="28" t="s">
        <v>37</v>
      </c>
      <c r="E90" s="28" t="s">
        <v>63</v>
      </c>
      <c r="F90" s="28" t="s">
        <v>39</v>
      </c>
      <c r="G90" s="59">
        <v>1467034</v>
      </c>
      <c r="H90" s="59"/>
      <c r="I90" s="59"/>
      <c r="J90" s="59"/>
      <c r="K90" s="5">
        <v>1472</v>
      </c>
      <c r="L90" s="5"/>
      <c r="M90" s="5"/>
      <c r="N90" s="59">
        <v>353572</v>
      </c>
      <c r="O90" s="6">
        <v>1111990</v>
      </c>
      <c r="P90" s="69">
        <f>SUM(Q90:V90)</f>
        <v>1495671</v>
      </c>
      <c r="Q90" s="59">
        <v>1497</v>
      </c>
      <c r="R90" s="59"/>
      <c r="S90" s="59"/>
      <c r="T90" s="59">
        <v>139437</v>
      </c>
      <c r="U90" s="5"/>
      <c r="V90" s="6">
        <v>1354737</v>
      </c>
    </row>
    <row r="91" spans="2:22" x14ac:dyDescent="0.3">
      <c r="B91" s="53" t="s">
        <v>159</v>
      </c>
      <c r="C91" s="31" t="s">
        <v>159</v>
      </c>
      <c r="D91" s="31" t="s">
        <v>160</v>
      </c>
      <c r="E91" s="31" t="s">
        <v>161</v>
      </c>
      <c r="F91" s="31" t="s">
        <v>162</v>
      </c>
      <c r="G91" s="16">
        <v>37056871</v>
      </c>
      <c r="H91" s="16">
        <v>0</v>
      </c>
      <c r="I91" s="16"/>
      <c r="J91" s="16"/>
      <c r="K91" s="8">
        <v>0</v>
      </c>
      <c r="L91" s="8"/>
      <c r="M91" s="8"/>
      <c r="N91" s="8"/>
      <c r="O91" s="9">
        <v>37056871</v>
      </c>
      <c r="P91" s="16">
        <f>SUM(Q91:V91)</f>
        <v>35676927</v>
      </c>
      <c r="Q91" s="16">
        <v>0</v>
      </c>
      <c r="R91" s="16"/>
      <c r="S91" s="16"/>
      <c r="T91" s="16">
        <v>0</v>
      </c>
      <c r="U91" s="8"/>
      <c r="V91" s="9">
        <v>35676927</v>
      </c>
    </row>
    <row r="92" spans="2:22" ht="13.5" thickBot="1" x14ac:dyDescent="0.35">
      <c r="B92" s="53" t="s">
        <v>163</v>
      </c>
      <c r="C92" s="25" t="s">
        <v>163</v>
      </c>
      <c r="D92" s="25" t="s">
        <v>89</v>
      </c>
      <c r="E92" s="25" t="s">
        <v>43</v>
      </c>
      <c r="F92" s="25" t="s">
        <v>44</v>
      </c>
      <c r="G92" s="60">
        <v>0</v>
      </c>
      <c r="H92" s="55">
        <v>0</v>
      </c>
      <c r="I92" s="55"/>
      <c r="J92" s="55"/>
      <c r="K92" s="2">
        <v>0</v>
      </c>
      <c r="L92" s="2"/>
      <c r="M92" s="2"/>
      <c r="N92" s="2"/>
      <c r="O92" s="26">
        <v>0</v>
      </c>
      <c r="P92" s="55">
        <f>SUM(Q92:V92)</f>
        <v>103373</v>
      </c>
      <c r="Q92" s="55">
        <v>0</v>
      </c>
      <c r="R92" s="55"/>
      <c r="S92" s="55"/>
      <c r="T92" s="55">
        <v>0</v>
      </c>
      <c r="U92" s="2"/>
      <c r="V92" s="26">
        <v>103373</v>
      </c>
    </row>
    <row r="93" spans="2:22" x14ac:dyDescent="0.3">
      <c r="B93" s="56" t="s">
        <v>164</v>
      </c>
      <c r="C93" s="32" t="s">
        <v>164</v>
      </c>
      <c r="D93" s="32" t="s">
        <v>23</v>
      </c>
      <c r="E93" s="32" t="s">
        <v>24</v>
      </c>
      <c r="F93" s="32" t="s">
        <v>25</v>
      </c>
      <c r="G93" s="58">
        <v>1791229</v>
      </c>
      <c r="H93" s="58">
        <v>30434</v>
      </c>
      <c r="I93" s="58"/>
      <c r="J93" s="58">
        <v>1839</v>
      </c>
      <c r="K93" s="10">
        <v>993716</v>
      </c>
      <c r="L93" s="10"/>
      <c r="M93" s="10"/>
      <c r="N93" s="10"/>
      <c r="O93" s="33">
        <v>765240</v>
      </c>
      <c r="P93" s="57">
        <f>SUM(Q93:V93)</f>
        <v>5139919</v>
      </c>
      <c r="Q93" s="58">
        <v>59373</v>
      </c>
      <c r="R93" s="58"/>
      <c r="S93" s="58">
        <f>2584</f>
        <v>2584</v>
      </c>
      <c r="T93" s="58">
        <v>339994</v>
      </c>
      <c r="U93" s="10"/>
      <c r="V93" s="33">
        <v>4737968</v>
      </c>
    </row>
    <row r="94" spans="2:22" ht="13.5" thickBot="1" x14ac:dyDescent="0.35">
      <c r="B94" s="56"/>
      <c r="C94" s="28" t="s">
        <v>164</v>
      </c>
      <c r="D94" s="28" t="s">
        <v>165</v>
      </c>
      <c r="E94" s="28" t="s">
        <v>166</v>
      </c>
      <c r="F94" s="28" t="s">
        <v>167</v>
      </c>
      <c r="G94" s="69">
        <v>28884862</v>
      </c>
      <c r="H94" s="59"/>
      <c r="I94" s="59"/>
      <c r="J94" s="59"/>
      <c r="K94" s="5"/>
      <c r="L94" s="5"/>
      <c r="M94" s="5"/>
      <c r="N94" s="5"/>
      <c r="O94" s="6">
        <v>28884862</v>
      </c>
      <c r="P94" s="59">
        <f>SUM(Q94:V94)</f>
        <v>36146088</v>
      </c>
      <c r="Q94" s="59"/>
      <c r="R94" s="59"/>
      <c r="S94" s="59">
        <f>-2</f>
        <v>-2</v>
      </c>
      <c r="T94" s="59"/>
      <c r="U94" s="5"/>
      <c r="V94" s="6">
        <v>36146090</v>
      </c>
    </row>
    <row r="95" spans="2:22" x14ac:dyDescent="0.3">
      <c r="B95" s="56" t="s">
        <v>168</v>
      </c>
      <c r="C95" s="27" t="s">
        <v>168</v>
      </c>
      <c r="D95" s="27" t="s">
        <v>169</v>
      </c>
      <c r="E95" s="27" t="s">
        <v>170</v>
      </c>
      <c r="F95" s="27" t="s">
        <v>171</v>
      </c>
      <c r="G95" s="58">
        <v>47072576</v>
      </c>
      <c r="H95" s="57"/>
      <c r="I95" s="57"/>
      <c r="J95" s="57"/>
      <c r="K95" s="3"/>
      <c r="L95" s="3"/>
      <c r="M95" s="3"/>
      <c r="N95" s="3"/>
      <c r="O95" s="4">
        <v>47072576</v>
      </c>
      <c r="P95" s="57">
        <f>SUM(Q95:V95)</f>
        <v>33934195</v>
      </c>
      <c r="Q95" s="57"/>
      <c r="R95" s="57"/>
      <c r="S95" s="57"/>
      <c r="T95" s="57"/>
      <c r="U95" s="3"/>
      <c r="V95" s="4">
        <v>33934195</v>
      </c>
    </row>
    <row r="96" spans="2:22" ht="13.5" thickBot="1" x14ac:dyDescent="0.35">
      <c r="B96" s="56"/>
      <c r="C96" s="28" t="s">
        <v>168</v>
      </c>
      <c r="D96" s="28" t="s">
        <v>172</v>
      </c>
      <c r="E96" s="28" t="s">
        <v>173</v>
      </c>
      <c r="F96" s="28" t="s">
        <v>171</v>
      </c>
      <c r="G96" s="69">
        <v>27959740</v>
      </c>
      <c r="H96" s="59"/>
      <c r="I96" s="59"/>
      <c r="J96" s="59"/>
      <c r="K96" s="5"/>
      <c r="L96" s="5"/>
      <c r="M96" s="5"/>
      <c r="N96" s="5"/>
      <c r="O96" s="6">
        <v>27959740</v>
      </c>
      <c r="P96" s="59">
        <f>SUM(Q96:V96)</f>
        <v>25217700</v>
      </c>
      <c r="Q96" s="59"/>
      <c r="R96" s="59"/>
      <c r="S96" s="59"/>
      <c r="T96" s="59"/>
      <c r="U96" s="5"/>
      <c r="V96" s="6">
        <v>25217700</v>
      </c>
    </row>
    <row r="97" spans="2:22" ht="13.5" thickBot="1" x14ac:dyDescent="0.35">
      <c r="B97" s="53" t="s">
        <v>174</v>
      </c>
      <c r="C97" s="29" t="s">
        <v>174</v>
      </c>
      <c r="D97" s="29" t="s">
        <v>75</v>
      </c>
      <c r="E97" s="29" t="s">
        <v>76</v>
      </c>
      <c r="F97" s="29" t="s">
        <v>70</v>
      </c>
      <c r="G97" s="60">
        <v>819553</v>
      </c>
      <c r="H97" s="60">
        <v>0</v>
      </c>
      <c r="I97" s="60"/>
      <c r="J97" s="60"/>
      <c r="K97" s="7">
        <v>0</v>
      </c>
      <c r="L97" s="7"/>
      <c r="M97" s="7"/>
      <c r="N97" s="7"/>
      <c r="O97" s="30">
        <v>819553</v>
      </c>
      <c r="P97" s="60">
        <f>SUM(Q97:V97)</f>
        <v>698411</v>
      </c>
      <c r="Q97" s="60">
        <v>0</v>
      </c>
      <c r="R97" s="60"/>
      <c r="S97" s="60"/>
      <c r="T97" s="60">
        <v>0</v>
      </c>
      <c r="U97" s="7"/>
      <c r="V97" s="30">
        <v>698411</v>
      </c>
    </row>
    <row r="98" spans="2:22" ht="13.5" thickBot="1" x14ac:dyDescent="0.35">
      <c r="B98" s="56" t="s">
        <v>175</v>
      </c>
      <c r="C98" s="27" t="s">
        <v>175</v>
      </c>
      <c r="D98" s="27" t="s">
        <v>23</v>
      </c>
      <c r="E98" s="27" t="s">
        <v>65</v>
      </c>
      <c r="F98" s="27" t="s">
        <v>25</v>
      </c>
      <c r="G98" s="57">
        <v>237003.13219999999</v>
      </c>
      <c r="H98" s="57">
        <v>2984</v>
      </c>
      <c r="I98" s="57"/>
      <c r="J98" s="59">
        <v>1081.1321999999996</v>
      </c>
      <c r="K98" s="3">
        <v>202954</v>
      </c>
      <c r="L98" s="3"/>
      <c r="M98" s="3"/>
      <c r="N98" s="3"/>
      <c r="O98" s="4">
        <v>29984</v>
      </c>
      <c r="P98" s="57">
        <f>SUM(Q98:V98)</f>
        <v>10642</v>
      </c>
      <c r="Q98" s="57">
        <v>386</v>
      </c>
      <c r="R98" s="57"/>
      <c r="S98" s="57">
        <f>261</f>
        <v>261</v>
      </c>
      <c r="T98" s="57">
        <v>308</v>
      </c>
      <c r="U98" s="3"/>
      <c r="V98" s="4">
        <v>9687</v>
      </c>
    </row>
    <row r="99" spans="2:22" ht="13.5" thickBot="1" x14ac:dyDescent="0.35">
      <c r="B99" s="56"/>
      <c r="C99" s="28" t="s">
        <v>175</v>
      </c>
      <c r="D99" s="28" t="s">
        <v>23</v>
      </c>
      <c r="E99" s="28" t="s">
        <v>176</v>
      </c>
      <c r="F99" s="28" t="s">
        <v>151</v>
      </c>
      <c r="G99" s="59">
        <v>196424.02000000002</v>
      </c>
      <c r="H99" s="59"/>
      <c r="I99" s="59"/>
      <c r="J99" s="59">
        <v>12172.61</v>
      </c>
      <c r="K99" s="5"/>
      <c r="L99" s="5"/>
      <c r="M99" s="5"/>
      <c r="N99" s="5"/>
      <c r="O99" s="6">
        <v>184251.41</v>
      </c>
      <c r="P99" s="59">
        <f>SUM(Q99:V99)</f>
        <v>554854</v>
      </c>
      <c r="Q99" s="59"/>
      <c r="R99" s="59"/>
      <c r="S99" s="59"/>
      <c r="T99" s="59"/>
      <c r="U99" s="5"/>
      <c r="V99" s="6">
        <v>554854</v>
      </c>
    </row>
    <row r="100" spans="2:22" x14ac:dyDescent="0.3">
      <c r="B100" s="53" t="s">
        <v>177</v>
      </c>
      <c r="C100" s="31" t="s">
        <v>177</v>
      </c>
      <c r="D100" s="31" t="s">
        <v>178</v>
      </c>
      <c r="E100" s="31" t="s">
        <v>179</v>
      </c>
      <c r="F100" s="31" t="s">
        <v>180</v>
      </c>
      <c r="G100" s="16">
        <v>2968</v>
      </c>
      <c r="H100" s="16">
        <v>0</v>
      </c>
      <c r="I100" s="16"/>
      <c r="J100" s="16"/>
      <c r="K100" s="8">
        <v>0</v>
      </c>
      <c r="L100" s="8"/>
      <c r="M100" s="8"/>
      <c r="N100" s="8"/>
      <c r="O100" s="9">
        <v>2968</v>
      </c>
      <c r="P100" s="16">
        <f>SUM(Q100:V100)</f>
        <v>0</v>
      </c>
      <c r="Q100" s="16">
        <v>0</v>
      </c>
      <c r="R100" s="16"/>
      <c r="S100" s="16"/>
      <c r="T100" s="16">
        <v>0</v>
      </c>
      <c r="U100" s="8"/>
      <c r="V100" s="9">
        <v>0</v>
      </c>
    </row>
    <row r="101" spans="2:22" ht="13.5" thickBot="1" x14ac:dyDescent="0.35">
      <c r="B101" s="70" t="s">
        <v>181</v>
      </c>
      <c r="C101" s="35"/>
      <c r="D101" s="35"/>
      <c r="E101" s="35"/>
      <c r="F101" s="35"/>
      <c r="G101" s="17">
        <v>527637451.46140003</v>
      </c>
      <c r="H101" s="17">
        <v>11245690</v>
      </c>
      <c r="I101" s="17">
        <v>706986</v>
      </c>
      <c r="J101" s="17">
        <v>2880187.2699999996</v>
      </c>
      <c r="K101" s="17">
        <v>21145098.079999998</v>
      </c>
      <c r="L101" s="17">
        <v>0</v>
      </c>
      <c r="M101" s="17">
        <v>0</v>
      </c>
      <c r="N101" s="17">
        <v>714644</v>
      </c>
      <c r="O101" s="71">
        <v>490944846.11140007</v>
      </c>
      <c r="P101" s="17">
        <f t="shared" ref="P101:V101" si="0">SUM(P9:P100)</f>
        <v>545246160.64751458</v>
      </c>
      <c r="Q101" s="17">
        <f t="shared" si="0"/>
        <v>2909676.62</v>
      </c>
      <c r="R101" s="17">
        <f t="shared" si="0"/>
        <v>-467241</v>
      </c>
      <c r="S101" s="17">
        <f t="shared" si="0"/>
        <v>-21385.999999999884</v>
      </c>
      <c r="T101" s="17">
        <f t="shared" si="0"/>
        <v>5252391.8175146338</v>
      </c>
      <c r="U101" s="17">
        <f t="shared" si="0"/>
        <v>1881</v>
      </c>
      <c r="V101" s="71">
        <f t="shared" si="0"/>
        <v>537570838.21000004</v>
      </c>
    </row>
    <row r="102" spans="2:22" ht="15" customHeight="1" thickBot="1" x14ac:dyDescent="0.35"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</row>
    <row r="103" spans="2:22" x14ac:dyDescent="0.3">
      <c r="G103" s="61"/>
      <c r="K103" s="74">
        <v>646098</v>
      </c>
    </row>
    <row r="104" spans="2:22" x14ac:dyDescent="0.3">
      <c r="K104" s="37">
        <v>0.68587737463976051</v>
      </c>
    </row>
  </sheetData>
  <mergeCells count="17">
    <mergeCell ref="B82:B85"/>
    <mergeCell ref="B87:B90"/>
    <mergeCell ref="B93:B94"/>
    <mergeCell ref="B95:B96"/>
    <mergeCell ref="B98:B99"/>
    <mergeCell ref="B28:B29"/>
    <mergeCell ref="B40:B41"/>
    <mergeCell ref="B42:B43"/>
    <mergeCell ref="B72:B73"/>
    <mergeCell ref="B75:B77"/>
    <mergeCell ref="B78:B79"/>
    <mergeCell ref="G6:O6"/>
    <mergeCell ref="P6:V6"/>
    <mergeCell ref="B11:B12"/>
    <mergeCell ref="B14:B16"/>
    <mergeCell ref="B19:B21"/>
    <mergeCell ref="B23:B24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388E-422D-4662-BA3E-976D3A89A43D}">
  <dimension ref="A1:U99"/>
  <sheetViews>
    <sheetView zoomScale="50" zoomScaleNormal="50" workbookViewId="0">
      <pane xSplit="1" ySplit="5" topLeftCell="B72" activePane="bottomRight" state="frozen"/>
      <selection pane="topRight" activeCell="B1" sqref="B1"/>
      <selection pane="bottomLeft" activeCell="A9" sqref="A9"/>
      <selection pane="bottomRight" activeCell="D18" sqref="D18"/>
    </sheetView>
  </sheetViews>
  <sheetFormatPr defaultColWidth="9.453125" defaultRowHeight="15.5" x14ac:dyDescent="0.35"/>
  <cols>
    <col min="1" max="1" width="85.54296875" style="90" bestFit="1" customWidth="1"/>
    <col min="2" max="2" width="18.7265625" style="90" bestFit="1" customWidth="1"/>
    <col min="3" max="3" width="18.26953125" style="90" bestFit="1" customWidth="1"/>
    <col min="4" max="4" width="18.7265625" style="90" bestFit="1" customWidth="1"/>
    <col min="5" max="6" width="18.7265625" style="90" customWidth="1"/>
    <col min="7" max="7" width="18.26953125" style="90" bestFit="1" customWidth="1"/>
    <col min="8" max="9" width="17.81640625" style="90" bestFit="1" customWidth="1"/>
    <col min="10" max="12" width="18.26953125" style="90" bestFit="1" customWidth="1"/>
    <col min="13" max="13" width="18.7265625" style="90" bestFit="1" customWidth="1"/>
    <col min="14" max="14" width="19.6328125" style="90" customWidth="1"/>
    <col min="15" max="15" width="4.08984375" style="91" bestFit="1" customWidth="1"/>
    <col min="16" max="17" width="19.1796875" style="90" bestFit="1" customWidth="1"/>
    <col min="18" max="18" width="19.6328125" style="90" bestFit="1" customWidth="1"/>
    <col min="19" max="19" width="17.36328125" style="90" bestFit="1" customWidth="1"/>
    <col min="20" max="20" width="17.81640625" style="90" bestFit="1" customWidth="1"/>
    <col min="21" max="16384" width="9.453125" style="90"/>
  </cols>
  <sheetData>
    <row r="1" spans="1:20" x14ac:dyDescent="0.35">
      <c r="B1" s="92"/>
    </row>
    <row r="2" spans="1:20" x14ac:dyDescent="0.35">
      <c r="A2" s="93" t="s">
        <v>183</v>
      </c>
      <c r="C2" s="93"/>
      <c r="D2" s="93"/>
      <c r="E2" s="93"/>
      <c r="G2" s="95"/>
      <c r="J2" s="95"/>
      <c r="K2" s="95"/>
      <c r="L2" s="95"/>
      <c r="N2" s="94"/>
    </row>
    <row r="3" spans="1:20" x14ac:dyDescent="0.35">
      <c r="A3" s="96"/>
      <c r="B3" s="96"/>
      <c r="C3" s="96"/>
      <c r="D3" s="96"/>
      <c r="E3" s="96"/>
    </row>
    <row r="4" spans="1:20" x14ac:dyDescent="0.35">
      <c r="A4" s="97"/>
      <c r="B4" s="97"/>
      <c r="C4" s="97"/>
      <c r="D4" s="97"/>
      <c r="E4" s="97"/>
    </row>
    <row r="5" spans="1:20" x14ac:dyDescent="0.35">
      <c r="A5" s="98" t="s">
        <v>184</v>
      </c>
      <c r="B5" s="99" t="s">
        <v>185</v>
      </c>
      <c r="C5" s="99" t="s">
        <v>186</v>
      </c>
      <c r="D5" s="99" t="s">
        <v>187</v>
      </c>
      <c r="E5" s="99" t="s">
        <v>188</v>
      </c>
      <c r="F5" s="99" t="s">
        <v>189</v>
      </c>
      <c r="G5" s="99" t="s">
        <v>190</v>
      </c>
      <c r="H5" s="99" t="s">
        <v>191</v>
      </c>
      <c r="I5" s="99" t="s">
        <v>192</v>
      </c>
      <c r="J5" s="99" t="s">
        <v>193</v>
      </c>
      <c r="K5" s="99" t="s">
        <v>194</v>
      </c>
      <c r="L5" s="99" t="s">
        <v>195</v>
      </c>
      <c r="M5" s="99" t="s">
        <v>196</v>
      </c>
      <c r="N5" s="99" t="s">
        <v>181</v>
      </c>
      <c r="O5" s="100"/>
    </row>
    <row r="6" spans="1:20" x14ac:dyDescent="0.35">
      <c r="A6" s="98" t="s">
        <v>197</v>
      </c>
      <c r="B6" s="82">
        <v>16039368</v>
      </c>
      <c r="C6" s="82">
        <v>13490799</v>
      </c>
      <c r="D6" s="82">
        <v>14336382</v>
      </c>
      <c r="E6" s="82">
        <v>17363149</v>
      </c>
      <c r="F6" s="82">
        <v>14399553</v>
      </c>
      <c r="G6" s="82">
        <v>13003933</v>
      </c>
      <c r="H6" s="82">
        <v>12000963</v>
      </c>
      <c r="I6" s="82">
        <v>14685478</v>
      </c>
      <c r="J6" s="82">
        <v>14000906</v>
      </c>
      <c r="K6" s="82">
        <v>12521223</v>
      </c>
      <c r="L6" s="82">
        <v>13037166</v>
      </c>
      <c r="M6" s="82">
        <v>21132681</v>
      </c>
      <c r="N6" s="82">
        <v>176011601</v>
      </c>
      <c r="O6" s="101"/>
      <c r="P6" s="95"/>
    </row>
    <row r="7" spans="1:20" x14ac:dyDescent="0.35">
      <c r="A7" s="98" t="s">
        <v>198</v>
      </c>
      <c r="B7" s="82">
        <v>1597776</v>
      </c>
      <c r="C7" s="82">
        <v>6480262</v>
      </c>
      <c r="D7" s="82">
        <v>3646750</v>
      </c>
      <c r="E7" s="82">
        <v>3792358</v>
      </c>
      <c r="F7" s="82">
        <v>3523614</v>
      </c>
      <c r="G7" s="82">
        <v>1104310</v>
      </c>
      <c r="H7" s="82">
        <v>642613</v>
      </c>
      <c r="I7" s="82">
        <v>1448301</v>
      </c>
      <c r="J7" s="82">
        <v>0</v>
      </c>
      <c r="K7" s="82">
        <v>2437094</v>
      </c>
      <c r="L7" s="82">
        <v>2698013</v>
      </c>
      <c r="M7" s="82">
        <v>3128655</v>
      </c>
      <c r="N7" s="82">
        <v>30499746</v>
      </c>
      <c r="O7" s="101"/>
      <c r="Q7" s="95"/>
      <c r="T7" s="95"/>
    </row>
    <row r="8" spans="1:20" x14ac:dyDescent="0.35">
      <c r="A8" s="98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101"/>
      <c r="Q8" s="95"/>
    </row>
    <row r="9" spans="1:20" x14ac:dyDescent="0.35">
      <c r="A9" s="98" t="s">
        <v>199</v>
      </c>
      <c r="B9" s="82">
        <v>2742881</v>
      </c>
      <c r="C9" s="82">
        <v>1925603</v>
      </c>
      <c r="D9" s="82">
        <v>1286899</v>
      </c>
      <c r="E9" s="82">
        <v>1171364</v>
      </c>
      <c r="F9" s="82">
        <v>4622407</v>
      </c>
      <c r="G9" s="82">
        <v>0</v>
      </c>
      <c r="H9" s="82">
        <v>3081970</v>
      </c>
      <c r="I9" s="82">
        <v>0</v>
      </c>
      <c r="J9" s="82">
        <v>703645</v>
      </c>
      <c r="K9" s="82">
        <v>4669400</v>
      </c>
      <c r="L9" s="82">
        <v>888298</v>
      </c>
      <c r="M9" s="82">
        <v>569946</v>
      </c>
      <c r="N9" s="99"/>
      <c r="O9" s="100"/>
      <c r="Q9" s="95"/>
    </row>
    <row r="10" spans="1:20" x14ac:dyDescent="0.35">
      <c r="A10" s="102" t="s">
        <v>155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8">
        <v>8088120</v>
      </c>
      <c r="O10" s="90"/>
      <c r="Q10" s="95"/>
      <c r="R10" s="95"/>
    </row>
    <row r="11" spans="1:20" x14ac:dyDescent="0.35">
      <c r="A11" s="10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8">
        <v>4814118</v>
      </c>
      <c r="O11" s="90"/>
      <c r="Q11" s="95"/>
      <c r="R11" s="95"/>
    </row>
    <row r="12" spans="1:20" x14ac:dyDescent="0.35">
      <c r="A12" s="103" t="s">
        <v>25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8">
        <v>463481</v>
      </c>
      <c r="O12" s="90"/>
      <c r="Q12" s="95"/>
    </row>
    <row r="13" spans="1:20" x14ac:dyDescent="0.35">
      <c r="A13" s="103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8">
        <v>2875843</v>
      </c>
      <c r="O13" s="90"/>
      <c r="Q13" s="95"/>
    </row>
    <row r="14" spans="1:20" x14ac:dyDescent="0.35">
      <c r="A14" s="103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8">
        <v>5420851</v>
      </c>
      <c r="O14" s="90"/>
      <c r="Q14" s="95"/>
    </row>
    <row r="15" spans="1:20" x14ac:dyDescent="0.35">
      <c r="A15" s="98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99"/>
      <c r="O15" s="100"/>
      <c r="Q15" s="95"/>
    </row>
    <row r="16" spans="1:20" x14ac:dyDescent="0.35">
      <c r="A16" s="98" t="s">
        <v>200</v>
      </c>
      <c r="B16" s="82">
        <v>3137692</v>
      </c>
      <c r="C16" s="82">
        <v>2948620</v>
      </c>
      <c r="D16" s="82">
        <v>2860052</v>
      </c>
      <c r="E16" s="82">
        <v>1946108</v>
      </c>
      <c r="F16" s="82">
        <v>3942542</v>
      </c>
      <c r="G16" s="82">
        <v>4990334</v>
      </c>
      <c r="H16" s="82">
        <v>1723022</v>
      </c>
      <c r="I16" s="82">
        <v>2947630</v>
      </c>
      <c r="J16" s="82">
        <v>3999436</v>
      </c>
      <c r="K16" s="82">
        <v>1946901</v>
      </c>
      <c r="L16" s="82">
        <v>2424339</v>
      </c>
      <c r="M16" s="82">
        <v>4863520</v>
      </c>
      <c r="N16" s="99"/>
      <c r="O16" s="100"/>
      <c r="Q16" s="95"/>
    </row>
    <row r="17" spans="1:18" x14ac:dyDescent="0.35">
      <c r="A17" s="103" t="s">
        <v>167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8">
        <v>1995896</v>
      </c>
      <c r="O17" s="90"/>
      <c r="Q17" s="95"/>
    </row>
    <row r="18" spans="1:18" x14ac:dyDescent="0.35">
      <c r="A18" s="103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8">
        <v>1899736</v>
      </c>
      <c r="O18" s="90"/>
      <c r="Q18" s="95"/>
    </row>
    <row r="19" spans="1:18" x14ac:dyDescent="0.35">
      <c r="A19" s="103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8">
        <v>0</v>
      </c>
      <c r="O19" s="90"/>
      <c r="Q19" s="95"/>
    </row>
    <row r="20" spans="1:18" x14ac:dyDescent="0.35">
      <c r="A20" s="103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8">
        <v>946498</v>
      </c>
      <c r="O20" s="90"/>
      <c r="Q20" s="95"/>
    </row>
    <row r="21" spans="1:18" x14ac:dyDescent="0.35">
      <c r="A21" s="103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8">
        <v>2330694</v>
      </c>
      <c r="O21" s="90"/>
      <c r="Q21" s="95"/>
    </row>
    <row r="22" spans="1:18" x14ac:dyDescent="0.35">
      <c r="A22" s="103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8">
        <v>10840208</v>
      </c>
      <c r="O22" s="90"/>
      <c r="Q22" s="95"/>
    </row>
    <row r="23" spans="1:18" x14ac:dyDescent="0.35">
      <c r="A23" s="102" t="s">
        <v>171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8">
        <v>7999770</v>
      </c>
      <c r="O23" s="90"/>
      <c r="Q23" s="95"/>
      <c r="R23" s="95"/>
    </row>
    <row r="24" spans="1:18" x14ac:dyDescent="0.35">
      <c r="A24" s="10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8">
        <v>11717394</v>
      </c>
      <c r="O24" s="90"/>
      <c r="Q24" s="95"/>
      <c r="R24" s="95"/>
    </row>
    <row r="25" spans="1:18" x14ac:dyDescent="0.35">
      <c r="A25" s="98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99"/>
      <c r="O25" s="100"/>
      <c r="Q25" s="95"/>
    </row>
    <row r="26" spans="1:18" x14ac:dyDescent="0.35">
      <c r="A26" s="104" t="s">
        <v>201</v>
      </c>
      <c r="B26" s="82">
        <v>1734833</v>
      </c>
      <c r="C26" s="82">
        <v>0</v>
      </c>
      <c r="D26" s="82">
        <v>696943</v>
      </c>
      <c r="E26" s="82">
        <v>548465</v>
      </c>
      <c r="F26" s="82">
        <v>696439</v>
      </c>
      <c r="G26" s="82">
        <v>1546171</v>
      </c>
      <c r="H26" s="82">
        <v>590481</v>
      </c>
      <c r="I26" s="82">
        <v>581970</v>
      </c>
      <c r="J26" s="82">
        <v>0</v>
      </c>
      <c r="K26" s="82">
        <v>1550874</v>
      </c>
      <c r="L26" s="82">
        <v>600170</v>
      </c>
      <c r="M26" s="82">
        <v>0</v>
      </c>
      <c r="N26" s="99"/>
      <c r="O26" s="100"/>
      <c r="Q26" s="95"/>
    </row>
    <row r="27" spans="1:18" x14ac:dyDescent="0.35">
      <c r="A27" s="102" t="s">
        <v>100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8">
        <v>4360527</v>
      </c>
      <c r="O27" s="90"/>
      <c r="Q27" s="95"/>
      <c r="R27" s="95"/>
    </row>
    <row r="28" spans="1:18" x14ac:dyDescent="0.35">
      <c r="A28" s="10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8">
        <v>1902521</v>
      </c>
      <c r="O28" s="90"/>
      <c r="Q28" s="95"/>
      <c r="R28" s="95"/>
    </row>
    <row r="29" spans="1:18" x14ac:dyDescent="0.35">
      <c r="A29" s="102" t="s">
        <v>39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8">
        <v>1334179</v>
      </c>
      <c r="O29" s="90"/>
      <c r="Q29" s="95"/>
    </row>
    <row r="30" spans="1:18" x14ac:dyDescent="0.35">
      <c r="A30" s="10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8">
        <v>949119</v>
      </c>
      <c r="O30" s="90"/>
      <c r="Q30" s="95"/>
    </row>
    <row r="31" spans="1:18" x14ac:dyDescent="0.35">
      <c r="A31" s="98" t="s">
        <v>202</v>
      </c>
      <c r="B31" s="82">
        <v>0</v>
      </c>
      <c r="C31" s="82">
        <v>378425</v>
      </c>
      <c r="D31" s="82">
        <v>0</v>
      </c>
      <c r="E31" s="82">
        <v>574270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649403</v>
      </c>
      <c r="L31" s="82">
        <v>0</v>
      </c>
      <c r="M31" s="82">
        <v>0</v>
      </c>
      <c r="N31" s="99">
        <v>1602098</v>
      </c>
      <c r="O31" s="100"/>
      <c r="Q31" s="95"/>
    </row>
    <row r="32" spans="1:18" x14ac:dyDescent="0.35">
      <c r="A32" s="98" t="s">
        <v>203</v>
      </c>
      <c r="B32" s="82">
        <v>0</v>
      </c>
      <c r="C32" s="82">
        <v>260000</v>
      </c>
      <c r="D32" s="82">
        <v>0</v>
      </c>
      <c r="E32" s="82">
        <v>0</v>
      </c>
      <c r="F32" s="82">
        <v>330000</v>
      </c>
      <c r="G32" s="82">
        <v>0</v>
      </c>
      <c r="H32" s="82">
        <v>275000</v>
      </c>
      <c r="I32" s="82">
        <v>0</v>
      </c>
      <c r="J32" s="82">
        <v>0</v>
      </c>
      <c r="K32" s="82">
        <v>150000</v>
      </c>
      <c r="L32" s="82">
        <v>360000</v>
      </c>
      <c r="M32" s="82">
        <v>271731</v>
      </c>
      <c r="N32" s="99">
        <v>1646731</v>
      </c>
      <c r="O32" s="100"/>
      <c r="Q32" s="95"/>
    </row>
    <row r="33" spans="1:19" x14ac:dyDescent="0.35">
      <c r="A33" s="98" t="s">
        <v>204</v>
      </c>
      <c r="B33" s="82">
        <v>150000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0</v>
      </c>
      <c r="N33" s="99">
        <v>150000</v>
      </c>
      <c r="O33" s="100"/>
      <c r="Q33" s="95"/>
      <c r="R33" s="95"/>
    </row>
    <row r="34" spans="1:19" x14ac:dyDescent="0.35">
      <c r="A34" s="98" t="s">
        <v>205</v>
      </c>
      <c r="B34" s="82">
        <v>4886105</v>
      </c>
      <c r="C34" s="82">
        <v>4930403</v>
      </c>
      <c r="D34" s="82">
        <v>4806252</v>
      </c>
      <c r="E34" s="82">
        <v>3934253</v>
      </c>
      <c r="F34" s="82">
        <v>1991135</v>
      </c>
      <c r="G34" s="82">
        <v>4866231</v>
      </c>
      <c r="H34" s="82">
        <v>2928433</v>
      </c>
      <c r="I34" s="82">
        <v>4026672</v>
      </c>
      <c r="J34" s="82">
        <v>1942694</v>
      </c>
      <c r="K34" s="82">
        <v>3144195</v>
      </c>
      <c r="L34" s="82">
        <v>4672734</v>
      </c>
      <c r="M34" s="82">
        <v>2348140</v>
      </c>
      <c r="N34" s="99"/>
      <c r="O34" s="100"/>
      <c r="Q34" s="95"/>
    </row>
    <row r="35" spans="1:19" x14ac:dyDescent="0.35">
      <c r="A35" s="56" t="s">
        <v>45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8">
        <v>17156976</v>
      </c>
      <c r="O35" s="90"/>
      <c r="Q35" s="95"/>
    </row>
    <row r="36" spans="1:19" x14ac:dyDescent="0.35">
      <c r="A36" s="56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8">
        <v>1053677</v>
      </c>
      <c r="O36" s="90"/>
      <c r="Q36" s="95"/>
    </row>
    <row r="37" spans="1:19" x14ac:dyDescent="0.35">
      <c r="A37" s="56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8">
        <v>3997590</v>
      </c>
      <c r="O37" s="90"/>
      <c r="Q37" s="95"/>
    </row>
    <row r="38" spans="1:19" x14ac:dyDescent="0.35">
      <c r="A38" s="56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8">
        <v>71000</v>
      </c>
      <c r="O38" s="90"/>
      <c r="Q38" s="95"/>
    </row>
    <row r="39" spans="1:19" x14ac:dyDescent="0.35">
      <c r="A39" s="105" t="s">
        <v>159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8">
        <v>19224810</v>
      </c>
      <c r="O39" s="90"/>
      <c r="Q39" s="95"/>
      <c r="R39" s="95"/>
    </row>
    <row r="40" spans="1:19" x14ac:dyDescent="0.35">
      <c r="A40" s="105" t="s">
        <v>206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8">
        <v>2973194</v>
      </c>
      <c r="O40" s="90"/>
      <c r="Q40" s="95"/>
    </row>
    <row r="41" spans="1:19" x14ac:dyDescent="0.35">
      <c r="A41" s="104" t="s">
        <v>207</v>
      </c>
      <c r="B41" s="82">
        <v>3604624</v>
      </c>
      <c r="C41" s="82">
        <v>3704711</v>
      </c>
      <c r="D41" s="82">
        <v>4711641</v>
      </c>
      <c r="E41" s="82">
        <v>2856095</v>
      </c>
      <c r="F41" s="82">
        <v>2546742</v>
      </c>
      <c r="G41" s="82">
        <v>3713645</v>
      </c>
      <c r="H41" s="82">
        <v>3657557</v>
      </c>
      <c r="I41" s="82">
        <v>3755449</v>
      </c>
      <c r="J41" s="82">
        <v>2537266</v>
      </c>
      <c r="K41" s="82">
        <v>3715390</v>
      </c>
      <c r="L41" s="82">
        <v>1809437</v>
      </c>
      <c r="M41" s="82">
        <v>4080206</v>
      </c>
      <c r="N41" s="99"/>
      <c r="O41" s="100"/>
      <c r="Q41" s="95"/>
      <c r="S41" s="95"/>
    </row>
    <row r="42" spans="1:19" x14ac:dyDescent="0.35">
      <c r="A42" s="88" t="s">
        <v>208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106">
        <v>6664839</v>
      </c>
      <c r="O42" s="90"/>
      <c r="Q42" s="95"/>
      <c r="R42" s="95"/>
      <c r="S42" s="95"/>
    </row>
    <row r="43" spans="1:19" x14ac:dyDescent="0.35">
      <c r="A43" s="88" t="s">
        <v>209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106">
        <v>3995502</v>
      </c>
      <c r="O43" s="90"/>
      <c r="Q43" s="95"/>
      <c r="R43" s="95"/>
      <c r="S43" s="95"/>
    </row>
    <row r="44" spans="1:19" x14ac:dyDescent="0.35">
      <c r="A44" s="88" t="s">
        <v>210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106">
        <v>2836368</v>
      </c>
      <c r="O44" s="90"/>
      <c r="Q44" s="95"/>
      <c r="R44" s="95"/>
      <c r="S44" s="95"/>
    </row>
    <row r="45" spans="1:19" x14ac:dyDescent="0.35">
      <c r="A45" s="89" t="s">
        <v>92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106">
        <v>22092030</v>
      </c>
      <c r="O45" s="90"/>
      <c r="Q45" s="95"/>
      <c r="S45" s="95"/>
    </row>
    <row r="46" spans="1:19" x14ac:dyDescent="0.35">
      <c r="A46" s="89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106">
        <v>4154396</v>
      </c>
      <c r="O46" s="100">
        <f>'[1]2.1_Recon_Crude Lifting'!D37</f>
        <v>0</v>
      </c>
      <c r="Q46" s="95"/>
      <c r="S46" s="95"/>
    </row>
    <row r="47" spans="1:19" x14ac:dyDescent="0.35">
      <c r="A47" s="89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106">
        <v>100000</v>
      </c>
      <c r="O47" s="100"/>
      <c r="Q47" s="95"/>
      <c r="S47" s="95"/>
    </row>
    <row r="48" spans="1:19" x14ac:dyDescent="0.35">
      <c r="A48" s="89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106">
        <v>849628</v>
      </c>
      <c r="O48" s="100"/>
      <c r="Q48" s="95"/>
      <c r="S48" s="95"/>
    </row>
    <row r="49" spans="1:20" x14ac:dyDescent="0.35">
      <c r="A49" s="98" t="s">
        <v>211</v>
      </c>
      <c r="B49" s="82">
        <v>969355</v>
      </c>
      <c r="C49" s="82">
        <v>0</v>
      </c>
      <c r="D49" s="82">
        <v>0</v>
      </c>
      <c r="E49" s="82">
        <v>0</v>
      </c>
      <c r="F49" s="82">
        <v>948953</v>
      </c>
      <c r="G49" s="82">
        <v>0</v>
      </c>
      <c r="H49" s="82">
        <v>0</v>
      </c>
      <c r="I49" s="82">
        <v>0</v>
      </c>
      <c r="J49" s="82">
        <v>786580</v>
      </c>
      <c r="K49" s="82">
        <v>0</v>
      </c>
      <c r="L49" s="82">
        <v>0</v>
      </c>
      <c r="M49" s="82">
        <v>797483</v>
      </c>
      <c r="N49" s="99">
        <v>3502371</v>
      </c>
      <c r="O49" s="100"/>
      <c r="Q49" s="95"/>
      <c r="T49" s="95"/>
    </row>
    <row r="50" spans="1:20" x14ac:dyDescent="0.35">
      <c r="A50" s="98" t="s">
        <v>212</v>
      </c>
      <c r="B50" s="82">
        <v>0</v>
      </c>
      <c r="C50" s="82">
        <v>0</v>
      </c>
      <c r="D50" s="82">
        <v>220000</v>
      </c>
      <c r="E50" s="82">
        <v>0</v>
      </c>
      <c r="F50" s="82">
        <v>130000</v>
      </c>
      <c r="G50" s="82">
        <v>0</v>
      </c>
      <c r="H50" s="82">
        <v>110000</v>
      </c>
      <c r="I50" s="82">
        <v>0</v>
      </c>
      <c r="J50" s="82">
        <v>0</v>
      </c>
      <c r="K50" s="82">
        <v>0</v>
      </c>
      <c r="L50" s="82">
        <v>0</v>
      </c>
      <c r="M50" s="82">
        <v>0</v>
      </c>
      <c r="N50" s="99">
        <v>460000</v>
      </c>
      <c r="O50" s="100"/>
      <c r="Q50" s="95"/>
      <c r="R50" s="95"/>
    </row>
    <row r="51" spans="1:20" x14ac:dyDescent="0.35">
      <c r="A51" s="98" t="s">
        <v>213</v>
      </c>
      <c r="B51" s="82">
        <v>0</v>
      </c>
      <c r="C51" s="82">
        <v>12600</v>
      </c>
      <c r="D51" s="82">
        <v>10000</v>
      </c>
      <c r="E51" s="82">
        <v>0</v>
      </c>
      <c r="F51" s="82">
        <v>0</v>
      </c>
      <c r="G51" s="82">
        <v>19544</v>
      </c>
      <c r="H51" s="82">
        <v>0</v>
      </c>
      <c r="I51" s="82">
        <v>10000</v>
      </c>
      <c r="J51" s="82">
        <v>5000</v>
      </c>
      <c r="K51" s="82">
        <v>5000</v>
      </c>
      <c r="L51" s="82">
        <v>18500</v>
      </c>
      <c r="M51" s="82">
        <v>0</v>
      </c>
      <c r="N51" s="99">
        <v>80644</v>
      </c>
      <c r="O51" s="100"/>
      <c r="Q51" s="95"/>
      <c r="T51" s="95"/>
    </row>
    <row r="52" spans="1:20" x14ac:dyDescent="0.35">
      <c r="A52" s="98" t="s">
        <v>214</v>
      </c>
      <c r="B52" s="82">
        <v>0</v>
      </c>
      <c r="C52" s="82">
        <v>44400</v>
      </c>
      <c r="D52" s="82">
        <v>20000</v>
      </c>
      <c r="E52" s="82">
        <v>30000</v>
      </c>
      <c r="F52" s="82">
        <v>0</v>
      </c>
      <c r="G52" s="82">
        <v>52956</v>
      </c>
      <c r="H52" s="82">
        <v>0</v>
      </c>
      <c r="I52" s="82">
        <v>0</v>
      </c>
      <c r="J52" s="82">
        <v>0</v>
      </c>
      <c r="K52" s="82">
        <v>20000</v>
      </c>
      <c r="L52" s="82">
        <v>40000</v>
      </c>
      <c r="M52" s="82">
        <v>0</v>
      </c>
      <c r="N52" s="99">
        <v>207356</v>
      </c>
      <c r="O52" s="100"/>
      <c r="Q52" s="95"/>
      <c r="R52" s="95"/>
    </row>
    <row r="53" spans="1:20" x14ac:dyDescent="0.35">
      <c r="A53" s="98" t="s">
        <v>215</v>
      </c>
      <c r="B53" s="82">
        <v>0</v>
      </c>
      <c r="C53" s="82">
        <v>0</v>
      </c>
      <c r="D53" s="82">
        <v>1027521</v>
      </c>
      <c r="E53" s="82">
        <v>0</v>
      </c>
      <c r="F53" s="82">
        <v>0</v>
      </c>
      <c r="G53" s="82">
        <v>0</v>
      </c>
      <c r="H53" s="82">
        <v>1015699</v>
      </c>
      <c r="I53" s="82">
        <v>0</v>
      </c>
      <c r="J53" s="82">
        <v>1034413</v>
      </c>
      <c r="K53" s="82">
        <v>0</v>
      </c>
      <c r="L53" s="82">
        <v>1027397</v>
      </c>
      <c r="M53" s="82">
        <v>0</v>
      </c>
      <c r="N53" s="99">
        <v>4105030</v>
      </c>
      <c r="O53" s="100"/>
      <c r="Q53" s="95"/>
      <c r="T53" s="95"/>
    </row>
    <row r="54" spans="1:20" x14ac:dyDescent="0.35">
      <c r="A54" s="98" t="s">
        <v>216</v>
      </c>
      <c r="B54" s="82">
        <v>0</v>
      </c>
      <c r="C54" s="82">
        <v>0</v>
      </c>
      <c r="D54" s="82">
        <v>0</v>
      </c>
      <c r="E54" s="82">
        <v>0</v>
      </c>
      <c r="F54" s="82">
        <v>0</v>
      </c>
      <c r="G54" s="82">
        <v>546101</v>
      </c>
      <c r="H54" s="82">
        <v>0</v>
      </c>
      <c r="I54" s="82">
        <v>0</v>
      </c>
      <c r="J54" s="82">
        <v>0</v>
      </c>
      <c r="K54" s="82">
        <v>0</v>
      </c>
      <c r="L54" s="82">
        <v>0</v>
      </c>
      <c r="M54" s="82">
        <v>0</v>
      </c>
      <c r="N54" s="99">
        <v>546101</v>
      </c>
      <c r="O54" s="100"/>
      <c r="Q54" s="95"/>
      <c r="S54" s="95"/>
    </row>
    <row r="55" spans="1:20" x14ac:dyDescent="0.35">
      <c r="A55" s="98" t="s">
        <v>217</v>
      </c>
      <c r="B55" s="82">
        <v>0</v>
      </c>
      <c r="C55" s="82">
        <v>0</v>
      </c>
      <c r="D55" s="82">
        <v>0</v>
      </c>
      <c r="E55" s="82">
        <v>320021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349958</v>
      </c>
      <c r="L55" s="82">
        <v>0</v>
      </c>
      <c r="M55" s="82">
        <v>0</v>
      </c>
      <c r="N55" s="99">
        <v>669979</v>
      </c>
      <c r="O55" s="100"/>
      <c r="Q55" s="95"/>
      <c r="T55" s="95"/>
    </row>
    <row r="56" spans="1:20" x14ac:dyDescent="0.35">
      <c r="A56" s="98" t="s">
        <v>218</v>
      </c>
      <c r="B56" s="82">
        <v>68990</v>
      </c>
      <c r="C56" s="82">
        <v>100456</v>
      </c>
      <c r="D56" s="82">
        <v>117216</v>
      </c>
      <c r="E56" s="82">
        <v>79855</v>
      </c>
      <c r="F56" s="82">
        <v>69867</v>
      </c>
      <c r="G56" s="82">
        <v>123868</v>
      </c>
      <c r="H56" s="82">
        <v>51195</v>
      </c>
      <c r="I56" s="82">
        <v>38380</v>
      </c>
      <c r="J56" s="82">
        <v>81931</v>
      </c>
      <c r="K56" s="82">
        <v>110666</v>
      </c>
      <c r="L56" s="82">
        <v>102597</v>
      </c>
      <c r="M56" s="82">
        <v>456548</v>
      </c>
      <c r="N56" s="99">
        <v>1401569</v>
      </c>
      <c r="O56" s="100"/>
      <c r="Q56" s="95"/>
      <c r="S56" s="95"/>
    </row>
    <row r="57" spans="1:20" x14ac:dyDescent="0.35">
      <c r="A57" s="98" t="s">
        <v>219</v>
      </c>
      <c r="B57" s="82">
        <v>0</v>
      </c>
      <c r="C57" s="82">
        <v>0</v>
      </c>
      <c r="D57" s="82">
        <v>110000</v>
      </c>
      <c r="E57" s="82">
        <v>201000</v>
      </c>
      <c r="F57" s="82">
        <v>0</v>
      </c>
      <c r="G57" s="82">
        <v>0</v>
      </c>
      <c r="H57" s="82">
        <v>68000</v>
      </c>
      <c r="I57" s="82">
        <v>0</v>
      </c>
      <c r="J57" s="82">
        <v>0</v>
      </c>
      <c r="K57" s="82">
        <v>0</v>
      </c>
      <c r="L57" s="82">
        <v>94000</v>
      </c>
      <c r="M57" s="82">
        <v>114390</v>
      </c>
      <c r="N57" s="99">
        <v>587390</v>
      </c>
      <c r="O57" s="100"/>
      <c r="Q57" s="95"/>
      <c r="S57" s="95"/>
    </row>
    <row r="58" spans="1:20" x14ac:dyDescent="0.35">
      <c r="A58" s="98" t="s">
        <v>220</v>
      </c>
      <c r="B58" s="82">
        <v>92262.78</v>
      </c>
      <c r="C58" s="82">
        <v>63829.24</v>
      </c>
      <c r="D58" s="82">
        <v>67195.39</v>
      </c>
      <c r="E58" s="82">
        <v>84302.98</v>
      </c>
      <c r="F58" s="82">
        <v>75538.64</v>
      </c>
      <c r="G58" s="82">
        <v>112441.19</v>
      </c>
      <c r="H58" s="82">
        <v>106461.17</v>
      </c>
      <c r="I58" s="82">
        <v>113046.11</v>
      </c>
      <c r="J58" s="82">
        <v>97730.2</v>
      </c>
      <c r="K58" s="82">
        <v>108581</v>
      </c>
      <c r="L58" s="82">
        <v>128437.94</v>
      </c>
      <c r="M58" s="82">
        <v>119039.48</v>
      </c>
      <c r="N58" s="99">
        <v>1168866.1199999999</v>
      </c>
      <c r="O58" s="100"/>
      <c r="Q58" s="95"/>
      <c r="S58" s="95"/>
    </row>
    <row r="59" spans="1:20" x14ac:dyDescent="0.35">
      <c r="A59" s="98" t="s">
        <v>221</v>
      </c>
      <c r="B59" s="82">
        <v>0</v>
      </c>
      <c r="C59" s="82">
        <v>0</v>
      </c>
      <c r="D59" s="82">
        <v>999452</v>
      </c>
      <c r="E59" s="82">
        <v>0</v>
      </c>
      <c r="F59" s="82">
        <v>0</v>
      </c>
      <c r="G59" s="82">
        <v>999506</v>
      </c>
      <c r="H59" s="82">
        <v>0</v>
      </c>
      <c r="I59" s="82">
        <v>1049136</v>
      </c>
      <c r="J59" s="82">
        <v>0</v>
      </c>
      <c r="K59" s="82">
        <v>0</v>
      </c>
      <c r="L59" s="82">
        <v>0</v>
      </c>
      <c r="M59" s="82">
        <v>0</v>
      </c>
      <c r="N59" s="99">
        <v>3048094</v>
      </c>
      <c r="O59" s="100"/>
      <c r="Q59" s="95"/>
      <c r="R59" s="95"/>
    </row>
    <row r="60" spans="1:20" x14ac:dyDescent="0.35">
      <c r="A60" s="98" t="s">
        <v>222</v>
      </c>
      <c r="B60" s="82">
        <v>928430</v>
      </c>
      <c r="C60" s="82">
        <v>0</v>
      </c>
      <c r="D60" s="82">
        <v>0</v>
      </c>
      <c r="E60" s="82">
        <v>0</v>
      </c>
      <c r="F60" s="82">
        <v>999508</v>
      </c>
      <c r="G60" s="82">
        <v>0</v>
      </c>
      <c r="H60" s="82">
        <v>0</v>
      </c>
      <c r="I60" s="82">
        <v>0</v>
      </c>
      <c r="J60" s="82">
        <v>998975</v>
      </c>
      <c r="K60" s="82">
        <v>0</v>
      </c>
      <c r="L60" s="82">
        <v>0</v>
      </c>
      <c r="M60" s="82">
        <v>0</v>
      </c>
      <c r="N60" s="99">
        <v>2926913</v>
      </c>
      <c r="O60" s="100"/>
      <c r="Q60" s="95"/>
      <c r="R60" s="95"/>
    </row>
    <row r="61" spans="1:20" x14ac:dyDescent="0.35">
      <c r="A61" s="98" t="s">
        <v>223</v>
      </c>
      <c r="B61" s="82">
        <v>0</v>
      </c>
      <c r="C61" s="82">
        <v>1002332</v>
      </c>
      <c r="D61" s="82">
        <v>957078</v>
      </c>
      <c r="E61" s="82">
        <v>958564</v>
      </c>
      <c r="F61" s="82">
        <v>999657</v>
      </c>
      <c r="G61" s="82">
        <v>0</v>
      </c>
      <c r="H61" s="82">
        <v>2002006</v>
      </c>
      <c r="I61" s="82">
        <v>0</v>
      </c>
      <c r="J61" s="82">
        <v>0</v>
      </c>
      <c r="K61" s="82">
        <v>2002532</v>
      </c>
      <c r="L61" s="82">
        <v>0</v>
      </c>
      <c r="M61" s="82">
        <v>0</v>
      </c>
      <c r="N61" s="99">
        <v>7922169</v>
      </c>
      <c r="O61" s="100"/>
      <c r="Q61" s="95"/>
      <c r="R61" s="95"/>
    </row>
    <row r="62" spans="1:20" x14ac:dyDescent="0.35">
      <c r="A62" s="98" t="s">
        <v>224</v>
      </c>
      <c r="B62" s="82">
        <v>2953932</v>
      </c>
      <c r="C62" s="82">
        <v>1049512</v>
      </c>
      <c r="D62" s="82">
        <v>2955372</v>
      </c>
      <c r="E62" s="82">
        <v>1999709</v>
      </c>
      <c r="F62" s="82">
        <v>2002702</v>
      </c>
      <c r="G62" s="82">
        <v>1951280</v>
      </c>
      <c r="H62" s="82">
        <v>990769</v>
      </c>
      <c r="I62" s="82">
        <v>2001743</v>
      </c>
      <c r="J62" s="82">
        <v>2952083</v>
      </c>
      <c r="K62" s="82">
        <v>2002303</v>
      </c>
      <c r="L62" s="82">
        <v>999662</v>
      </c>
      <c r="M62" s="82">
        <v>1931462</v>
      </c>
      <c r="N62" s="99">
        <v>23790529</v>
      </c>
      <c r="O62" s="100"/>
      <c r="Q62" s="95"/>
      <c r="R62" s="95"/>
    </row>
    <row r="63" spans="1:20" x14ac:dyDescent="0.35">
      <c r="A63" s="98" t="s">
        <v>225</v>
      </c>
      <c r="B63" s="82">
        <v>973863</v>
      </c>
      <c r="C63" s="82">
        <v>0</v>
      </c>
      <c r="D63" s="82">
        <v>0</v>
      </c>
      <c r="E63" s="82">
        <v>0</v>
      </c>
      <c r="F63" s="82">
        <v>0</v>
      </c>
      <c r="G63" s="82">
        <v>0</v>
      </c>
      <c r="H63" s="82">
        <v>999487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99">
        <v>1973350</v>
      </c>
      <c r="O63" s="100"/>
      <c r="Q63" s="95"/>
      <c r="R63" s="95"/>
    </row>
    <row r="64" spans="1:20" x14ac:dyDescent="0.35">
      <c r="A64" s="98" t="s">
        <v>226</v>
      </c>
      <c r="B64" s="82">
        <v>2051847</v>
      </c>
      <c r="C64" s="82">
        <v>0</v>
      </c>
      <c r="D64" s="82">
        <v>1958262</v>
      </c>
      <c r="E64" s="82">
        <v>1001133</v>
      </c>
      <c r="F64" s="82">
        <v>2030827</v>
      </c>
      <c r="G64" s="82">
        <v>0</v>
      </c>
      <c r="H64" s="82">
        <v>1000871</v>
      </c>
      <c r="I64" s="82">
        <v>954194</v>
      </c>
      <c r="J64" s="82">
        <v>1000942</v>
      </c>
      <c r="K64" s="82">
        <v>0</v>
      </c>
      <c r="L64" s="82">
        <v>1957718</v>
      </c>
      <c r="M64" s="82">
        <v>929795</v>
      </c>
      <c r="N64" s="99">
        <v>12885589</v>
      </c>
      <c r="O64" s="100"/>
      <c r="Q64" s="95"/>
      <c r="R64" s="95"/>
    </row>
    <row r="65" spans="1:20" x14ac:dyDescent="0.35">
      <c r="A65" s="98" t="s">
        <v>227</v>
      </c>
      <c r="B65" s="82">
        <v>0</v>
      </c>
      <c r="C65" s="82">
        <v>0</v>
      </c>
      <c r="D65" s="82">
        <v>0</v>
      </c>
      <c r="E65" s="82">
        <v>0</v>
      </c>
      <c r="F65" s="82">
        <v>50000</v>
      </c>
      <c r="G65" s="82">
        <v>0</v>
      </c>
      <c r="H65" s="82">
        <v>40000</v>
      </c>
      <c r="I65" s="82">
        <v>0</v>
      </c>
      <c r="J65" s="82">
        <v>0</v>
      </c>
      <c r="K65" s="82">
        <v>0</v>
      </c>
      <c r="L65" s="82">
        <v>165000</v>
      </c>
      <c r="M65" s="82">
        <v>0</v>
      </c>
      <c r="N65" s="99">
        <v>255000</v>
      </c>
      <c r="O65" s="100"/>
      <c r="Q65" s="95"/>
      <c r="T65" s="95"/>
    </row>
    <row r="66" spans="1:20" x14ac:dyDescent="0.35">
      <c r="A66" s="98" t="s">
        <v>228</v>
      </c>
      <c r="B66" s="82">
        <v>996730</v>
      </c>
      <c r="C66" s="82">
        <v>0</v>
      </c>
      <c r="D66" s="82">
        <v>0</v>
      </c>
      <c r="E66" s="82">
        <v>0</v>
      </c>
      <c r="F66" s="82">
        <v>0</v>
      </c>
      <c r="G66" s="82">
        <v>994541</v>
      </c>
      <c r="H66" s="82">
        <v>0</v>
      </c>
      <c r="I66" s="82">
        <v>448507</v>
      </c>
      <c r="J66" s="82">
        <v>0</v>
      </c>
      <c r="K66" s="82">
        <v>446180</v>
      </c>
      <c r="L66" s="82">
        <v>0</v>
      </c>
      <c r="M66" s="82">
        <v>471698</v>
      </c>
      <c r="N66" s="99">
        <v>3357656</v>
      </c>
      <c r="O66" s="100"/>
      <c r="Q66" s="95"/>
      <c r="T66" s="95"/>
    </row>
    <row r="67" spans="1:20" x14ac:dyDescent="0.35">
      <c r="A67" s="98" t="s">
        <v>229</v>
      </c>
      <c r="B67" s="107">
        <v>0</v>
      </c>
      <c r="C67" s="107">
        <v>759517</v>
      </c>
      <c r="D67" s="107">
        <v>949006</v>
      </c>
      <c r="E67" s="107">
        <v>0</v>
      </c>
      <c r="F67" s="107">
        <v>0</v>
      </c>
      <c r="G67" s="107">
        <v>1512905</v>
      </c>
      <c r="H67" s="107">
        <v>0</v>
      </c>
      <c r="I67" s="107">
        <v>0</v>
      </c>
      <c r="J67" s="107">
        <v>0</v>
      </c>
      <c r="K67" s="107">
        <v>700000</v>
      </c>
      <c r="L67" s="107">
        <v>771588</v>
      </c>
      <c r="M67" s="107">
        <v>590000</v>
      </c>
      <c r="N67" s="99">
        <v>5283016</v>
      </c>
      <c r="O67" s="100"/>
      <c r="Q67" s="95"/>
    </row>
    <row r="68" spans="1:20" x14ac:dyDescent="0.35">
      <c r="A68" s="98" t="s">
        <v>230</v>
      </c>
      <c r="B68" s="107">
        <v>616345</v>
      </c>
      <c r="C68" s="107">
        <v>0</v>
      </c>
      <c r="D68" s="107">
        <v>622056</v>
      </c>
      <c r="E68" s="107">
        <v>0</v>
      </c>
      <c r="F68" s="107">
        <v>605818</v>
      </c>
      <c r="G68" s="107">
        <v>0</v>
      </c>
      <c r="H68" s="107">
        <v>608158</v>
      </c>
      <c r="I68" s="107">
        <v>0</v>
      </c>
      <c r="J68" s="107">
        <v>608178</v>
      </c>
      <c r="K68" s="107">
        <v>0</v>
      </c>
      <c r="L68" s="107">
        <v>488652</v>
      </c>
      <c r="M68" s="107">
        <v>0</v>
      </c>
      <c r="N68" s="99">
        <v>3549207</v>
      </c>
      <c r="O68" s="100"/>
      <c r="Q68" s="95"/>
      <c r="S68" s="95"/>
    </row>
    <row r="69" spans="1:20" x14ac:dyDescent="0.35">
      <c r="A69" s="98" t="s">
        <v>231</v>
      </c>
      <c r="B69" s="107">
        <v>0</v>
      </c>
      <c r="C69" s="107">
        <v>0</v>
      </c>
      <c r="D69" s="107">
        <v>0</v>
      </c>
      <c r="E69" s="107">
        <v>999137</v>
      </c>
      <c r="F69" s="107">
        <v>0</v>
      </c>
      <c r="G69" s="107">
        <v>0</v>
      </c>
      <c r="H69" s="107">
        <v>0</v>
      </c>
      <c r="I69" s="107">
        <v>0</v>
      </c>
      <c r="J69" s="107">
        <v>999104</v>
      </c>
      <c r="K69" s="107">
        <v>0</v>
      </c>
      <c r="L69" s="107">
        <v>0</v>
      </c>
      <c r="M69" s="107">
        <v>998893</v>
      </c>
      <c r="N69" s="99">
        <v>2997134</v>
      </c>
      <c r="O69" s="100"/>
      <c r="Q69" s="95"/>
      <c r="R69" s="95"/>
    </row>
    <row r="70" spans="1:20" x14ac:dyDescent="0.35">
      <c r="A70" s="98" t="s">
        <v>232</v>
      </c>
      <c r="B70" s="107">
        <v>1739243</v>
      </c>
      <c r="C70" s="107">
        <v>1078327</v>
      </c>
      <c r="D70" s="107">
        <v>707370</v>
      </c>
      <c r="E70" s="107">
        <v>1559448</v>
      </c>
      <c r="F70" s="107">
        <v>1846885</v>
      </c>
      <c r="G70" s="107">
        <v>1432089</v>
      </c>
      <c r="H70" s="107">
        <v>1554950</v>
      </c>
      <c r="I70" s="107">
        <v>1101759</v>
      </c>
      <c r="J70" s="107">
        <v>1199255</v>
      </c>
      <c r="K70" s="107">
        <v>1300253</v>
      </c>
      <c r="L70" s="107">
        <v>1531492</v>
      </c>
      <c r="M70" s="107">
        <v>1805798</v>
      </c>
      <c r="N70" s="99">
        <v>16856869</v>
      </c>
      <c r="O70" s="100"/>
      <c r="Q70" s="95"/>
      <c r="R70" s="95"/>
    </row>
    <row r="71" spans="1:20" x14ac:dyDescent="0.35">
      <c r="A71" s="98" t="s">
        <v>233</v>
      </c>
      <c r="B71" s="107">
        <v>250000</v>
      </c>
      <c r="C71" s="107">
        <v>150000</v>
      </c>
      <c r="D71" s="107">
        <v>50000</v>
      </c>
      <c r="E71" s="107">
        <v>100000</v>
      </c>
      <c r="F71" s="107">
        <v>200000</v>
      </c>
      <c r="G71" s="107">
        <v>325000</v>
      </c>
      <c r="H71" s="107">
        <v>150000</v>
      </c>
      <c r="I71" s="107">
        <v>150000</v>
      </c>
      <c r="J71" s="107">
        <v>50000</v>
      </c>
      <c r="K71" s="107">
        <v>150000</v>
      </c>
      <c r="L71" s="107">
        <v>150000</v>
      </c>
      <c r="M71" s="107">
        <v>210000</v>
      </c>
      <c r="N71" s="99">
        <v>1935000</v>
      </c>
      <c r="O71" s="100"/>
      <c r="Q71" s="95"/>
      <c r="R71" s="95"/>
    </row>
    <row r="72" spans="1:20" x14ac:dyDescent="0.35">
      <c r="A72" s="98" t="s">
        <v>234</v>
      </c>
      <c r="B72" s="107">
        <v>0</v>
      </c>
      <c r="C72" s="107">
        <v>320000</v>
      </c>
      <c r="D72" s="107">
        <v>0</v>
      </c>
      <c r="E72" s="107">
        <v>500000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170000</v>
      </c>
      <c r="M72" s="107">
        <v>0</v>
      </c>
      <c r="N72" s="99">
        <v>990000</v>
      </c>
      <c r="O72" s="100"/>
      <c r="Q72" s="95"/>
      <c r="T72" s="95"/>
    </row>
    <row r="73" spans="1:20" x14ac:dyDescent="0.35">
      <c r="A73" s="98" t="s">
        <v>235</v>
      </c>
      <c r="B73" s="107">
        <v>949001</v>
      </c>
      <c r="C73" s="107">
        <v>0</v>
      </c>
      <c r="D73" s="107">
        <v>0</v>
      </c>
      <c r="E73" s="107">
        <v>0</v>
      </c>
      <c r="F73" s="107">
        <v>0</v>
      </c>
      <c r="G73" s="107">
        <v>0</v>
      </c>
      <c r="H73" s="107">
        <v>948850</v>
      </c>
      <c r="I73" s="107">
        <v>0</v>
      </c>
      <c r="J73" s="107">
        <v>0</v>
      </c>
      <c r="K73" s="107">
        <v>947107</v>
      </c>
      <c r="L73" s="107">
        <v>0</v>
      </c>
      <c r="M73" s="107">
        <v>747602</v>
      </c>
      <c r="N73" s="99">
        <v>3592560</v>
      </c>
      <c r="O73" s="100"/>
      <c r="Q73" s="95"/>
      <c r="T73" s="95"/>
    </row>
    <row r="74" spans="1:20" x14ac:dyDescent="0.35">
      <c r="A74" s="98" t="s">
        <v>236</v>
      </c>
      <c r="B74" s="107">
        <v>0</v>
      </c>
      <c r="C74" s="107">
        <v>442000</v>
      </c>
      <c r="D74" s="107">
        <v>73300</v>
      </c>
      <c r="E74" s="107">
        <v>0</v>
      </c>
      <c r="F74" s="107">
        <v>289800</v>
      </c>
      <c r="G74" s="107">
        <v>0</v>
      </c>
      <c r="H74" s="107">
        <v>112000</v>
      </c>
      <c r="I74" s="107">
        <v>0</v>
      </c>
      <c r="J74" s="107">
        <v>0</v>
      </c>
      <c r="K74" s="107">
        <v>0</v>
      </c>
      <c r="L74" s="107">
        <v>153300</v>
      </c>
      <c r="M74" s="107">
        <v>313884</v>
      </c>
      <c r="N74" s="99">
        <v>1384284</v>
      </c>
      <c r="O74" s="100"/>
      <c r="Q74" s="95"/>
      <c r="S74" s="95"/>
    </row>
    <row r="75" spans="1:20" x14ac:dyDescent="0.35">
      <c r="A75" s="98" t="s">
        <v>237</v>
      </c>
      <c r="B75" s="107">
        <v>0</v>
      </c>
      <c r="C75" s="107">
        <v>0</v>
      </c>
      <c r="D75" s="107">
        <v>113700</v>
      </c>
      <c r="E75" s="107">
        <v>0</v>
      </c>
      <c r="F75" s="107">
        <v>124200</v>
      </c>
      <c r="G75" s="107">
        <v>0</v>
      </c>
      <c r="H75" s="107">
        <v>48000</v>
      </c>
      <c r="I75" s="107">
        <v>0</v>
      </c>
      <c r="J75" s="107">
        <v>0</v>
      </c>
      <c r="K75" s="107">
        <v>0</v>
      </c>
      <c r="L75" s="107">
        <v>65700</v>
      </c>
      <c r="M75" s="107">
        <v>135808</v>
      </c>
      <c r="N75" s="99">
        <v>487408</v>
      </c>
      <c r="O75" s="100"/>
      <c r="Q75" s="95"/>
      <c r="S75" s="95"/>
    </row>
    <row r="76" spans="1:20" x14ac:dyDescent="0.35">
      <c r="A76" s="98" t="s">
        <v>238</v>
      </c>
      <c r="B76" s="107">
        <v>0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  <c r="K76" s="107">
        <v>347935</v>
      </c>
      <c r="L76" s="107">
        <v>301940</v>
      </c>
      <c r="M76" s="107">
        <v>0</v>
      </c>
      <c r="N76" s="99">
        <v>649875</v>
      </c>
      <c r="O76" s="100"/>
      <c r="Q76" s="95"/>
    </row>
    <row r="77" spans="1:20" x14ac:dyDescent="0.35">
      <c r="A77" s="98" t="s">
        <v>239</v>
      </c>
      <c r="B77" s="107">
        <v>30457</v>
      </c>
      <c r="C77" s="107">
        <v>32257</v>
      </c>
      <c r="D77" s="107">
        <v>25149</v>
      </c>
      <c r="E77" s="107">
        <v>0</v>
      </c>
      <c r="F77" s="107">
        <v>57216</v>
      </c>
      <c r="G77" s="107">
        <v>31286</v>
      </c>
      <c r="H77" s="107">
        <v>30408</v>
      </c>
      <c r="I77" s="107">
        <v>0</v>
      </c>
      <c r="J77" s="107">
        <v>62984</v>
      </c>
      <c r="K77" s="107">
        <v>30780</v>
      </c>
      <c r="L77" s="107">
        <v>29345</v>
      </c>
      <c r="M77" s="107">
        <v>20881</v>
      </c>
      <c r="N77" s="99">
        <v>350763</v>
      </c>
      <c r="O77" s="100"/>
      <c r="Q77" s="95"/>
      <c r="S77" s="95"/>
    </row>
    <row r="78" spans="1:20" x14ac:dyDescent="0.35">
      <c r="A78" s="98" t="s">
        <v>240</v>
      </c>
      <c r="B78" s="107">
        <v>73443</v>
      </c>
      <c r="C78" s="107">
        <v>50717</v>
      </c>
      <c r="D78" s="107">
        <v>46323</v>
      </c>
      <c r="E78" s="107">
        <v>0</v>
      </c>
      <c r="F78" s="107">
        <v>159308</v>
      </c>
      <c r="G78" s="107">
        <v>62033</v>
      </c>
      <c r="H78" s="107">
        <v>67564</v>
      </c>
      <c r="I78" s="107">
        <v>0</v>
      </c>
      <c r="J78" s="107">
        <v>160135</v>
      </c>
      <c r="K78" s="107">
        <v>59628</v>
      </c>
      <c r="L78" s="107">
        <v>72842</v>
      </c>
      <c r="M78" s="107">
        <v>57272</v>
      </c>
      <c r="N78" s="99">
        <v>809265</v>
      </c>
      <c r="O78" s="100"/>
      <c r="Q78" s="95"/>
      <c r="S78" s="95"/>
    </row>
    <row r="79" spans="1:20" x14ac:dyDescent="0.35">
      <c r="A79" s="98" t="s">
        <v>241</v>
      </c>
      <c r="B79" s="107">
        <v>44745</v>
      </c>
      <c r="C79" s="107">
        <v>47507</v>
      </c>
      <c r="D79" s="107">
        <v>42933</v>
      </c>
      <c r="E79" s="107">
        <v>0</v>
      </c>
      <c r="F79" s="107">
        <v>88608</v>
      </c>
      <c r="G79" s="107">
        <v>44569</v>
      </c>
      <c r="H79" s="107">
        <v>45020</v>
      </c>
      <c r="I79" s="107">
        <v>0</v>
      </c>
      <c r="J79" s="107">
        <v>90833</v>
      </c>
      <c r="K79" s="107">
        <v>44198</v>
      </c>
      <c r="L79" s="107">
        <v>43463</v>
      </c>
      <c r="M79" s="107">
        <v>42338</v>
      </c>
      <c r="N79" s="99">
        <v>534214</v>
      </c>
      <c r="O79" s="100"/>
      <c r="Q79" s="95"/>
      <c r="S79" s="95"/>
    </row>
    <row r="80" spans="1:20" x14ac:dyDescent="0.35">
      <c r="A80" s="98" t="s">
        <v>177</v>
      </c>
      <c r="B80" s="107">
        <v>0</v>
      </c>
      <c r="C80" s="107">
        <v>0</v>
      </c>
      <c r="D80" s="107">
        <v>0</v>
      </c>
      <c r="E80" s="107">
        <v>0</v>
      </c>
      <c r="F80" s="107">
        <v>0</v>
      </c>
      <c r="G80" s="107">
        <v>94187</v>
      </c>
      <c r="H80" s="107">
        <v>0</v>
      </c>
      <c r="I80" s="107">
        <v>0</v>
      </c>
      <c r="J80" s="107">
        <v>0</v>
      </c>
      <c r="K80" s="107">
        <v>0</v>
      </c>
      <c r="L80" s="107">
        <v>0</v>
      </c>
      <c r="M80" s="107">
        <v>0</v>
      </c>
      <c r="N80" s="99">
        <v>94187</v>
      </c>
      <c r="O80" s="100"/>
      <c r="Q80" s="95"/>
      <c r="T80" s="95"/>
    </row>
    <row r="81" spans="1:21" x14ac:dyDescent="0.35">
      <c r="A81" s="98" t="s">
        <v>242</v>
      </c>
      <c r="B81" s="107">
        <v>15000</v>
      </c>
      <c r="C81" s="107">
        <v>21488</v>
      </c>
      <c r="D81" s="107">
        <v>110000</v>
      </c>
      <c r="E81" s="107">
        <v>170000</v>
      </c>
      <c r="F81" s="107">
        <v>29319</v>
      </c>
      <c r="G81" s="107">
        <v>0</v>
      </c>
      <c r="H81" s="107">
        <v>81000</v>
      </c>
      <c r="I81" s="107">
        <v>0</v>
      </c>
      <c r="J81" s="107">
        <v>0</v>
      </c>
      <c r="K81" s="107">
        <v>12872</v>
      </c>
      <c r="L81" s="107">
        <v>180267</v>
      </c>
      <c r="M81" s="107">
        <v>213260</v>
      </c>
      <c r="N81" s="99">
        <v>833206</v>
      </c>
      <c r="O81" s="100"/>
      <c r="Q81" s="95"/>
      <c r="S81" s="95"/>
    </row>
    <row r="82" spans="1:21" x14ac:dyDescent="0.35">
      <c r="A82" s="98" t="s">
        <v>243</v>
      </c>
      <c r="B82" s="107">
        <v>70000</v>
      </c>
      <c r="C82" s="107">
        <v>0</v>
      </c>
      <c r="D82" s="107">
        <v>0</v>
      </c>
      <c r="E82" s="107">
        <v>0</v>
      </c>
      <c r="F82" s="107">
        <v>86450</v>
      </c>
      <c r="G82" s="107">
        <v>0</v>
      </c>
      <c r="H82" s="107">
        <v>0</v>
      </c>
      <c r="I82" s="107">
        <v>0</v>
      </c>
      <c r="J82" s="107">
        <v>0</v>
      </c>
      <c r="K82" s="107">
        <v>140000</v>
      </c>
      <c r="L82" s="107">
        <v>150000</v>
      </c>
      <c r="M82" s="107">
        <v>0</v>
      </c>
      <c r="N82" s="99">
        <v>446450</v>
      </c>
      <c r="O82" s="100"/>
      <c r="Q82" s="95"/>
      <c r="S82" s="95"/>
    </row>
    <row r="83" spans="1:21" x14ac:dyDescent="0.35">
      <c r="A83" s="98" t="s">
        <v>85</v>
      </c>
      <c r="B83" s="107">
        <v>0</v>
      </c>
      <c r="C83" s="107">
        <v>114229</v>
      </c>
      <c r="D83" s="107">
        <v>130757</v>
      </c>
      <c r="E83" s="107">
        <v>0</v>
      </c>
      <c r="F83" s="107">
        <v>114477</v>
      </c>
      <c r="G83" s="107">
        <v>0</v>
      </c>
      <c r="H83" s="107">
        <v>188997</v>
      </c>
      <c r="I83" s="107">
        <v>0</v>
      </c>
      <c r="J83" s="107">
        <v>155815</v>
      </c>
      <c r="K83" s="107">
        <v>106576</v>
      </c>
      <c r="L83" s="107">
        <v>0</v>
      </c>
      <c r="M83" s="107">
        <v>346949</v>
      </c>
      <c r="N83" s="99">
        <v>1157800</v>
      </c>
      <c r="O83" s="100"/>
      <c r="Q83" s="95"/>
      <c r="S83" s="95"/>
    </row>
    <row r="84" spans="1:21" x14ac:dyDescent="0.35">
      <c r="A84" s="98" t="s">
        <v>244</v>
      </c>
      <c r="B84" s="107">
        <v>0</v>
      </c>
      <c r="C84" s="107">
        <v>65853</v>
      </c>
      <c r="D84" s="107">
        <v>76848</v>
      </c>
      <c r="E84" s="107">
        <v>0</v>
      </c>
      <c r="F84" s="107">
        <v>65681</v>
      </c>
      <c r="G84" s="107">
        <v>0</v>
      </c>
      <c r="H84" s="107">
        <v>73901</v>
      </c>
      <c r="I84" s="107">
        <v>0</v>
      </c>
      <c r="J84" s="107">
        <v>136245</v>
      </c>
      <c r="K84" s="107">
        <v>63721</v>
      </c>
      <c r="L84" s="107">
        <v>0</v>
      </c>
      <c r="M84" s="107">
        <v>209993</v>
      </c>
      <c r="N84" s="99">
        <v>692242</v>
      </c>
      <c r="O84" s="100"/>
      <c r="Q84" s="95"/>
      <c r="S84" s="95"/>
    </row>
    <row r="85" spans="1:21" x14ac:dyDescent="0.35">
      <c r="A85" s="98" t="s">
        <v>245</v>
      </c>
      <c r="B85" s="107">
        <v>0</v>
      </c>
      <c r="C85" s="107">
        <v>0</v>
      </c>
      <c r="D85" s="107">
        <v>0</v>
      </c>
      <c r="E85" s="107">
        <v>298363</v>
      </c>
      <c r="F85" s="107">
        <v>0</v>
      </c>
      <c r="G85" s="107">
        <v>0</v>
      </c>
      <c r="H85" s="107">
        <v>0</v>
      </c>
      <c r="I85" s="107">
        <v>0</v>
      </c>
      <c r="J85" s="107">
        <v>0</v>
      </c>
      <c r="K85" s="107">
        <v>0</v>
      </c>
      <c r="L85" s="107">
        <v>0</v>
      </c>
      <c r="M85" s="107">
        <v>200591</v>
      </c>
      <c r="N85" s="99">
        <v>498954</v>
      </c>
      <c r="O85" s="100"/>
      <c r="Q85" s="95"/>
    </row>
    <row r="86" spans="1:21" x14ac:dyDescent="0.35">
      <c r="A86" s="98" t="s">
        <v>246</v>
      </c>
      <c r="B86" s="107">
        <v>0</v>
      </c>
      <c r="C86" s="107">
        <v>40000</v>
      </c>
      <c r="D86" s="107">
        <v>0</v>
      </c>
      <c r="E86" s="107">
        <v>0</v>
      </c>
      <c r="F86" s="107">
        <v>180000</v>
      </c>
      <c r="G86" s="107">
        <v>0</v>
      </c>
      <c r="H86" s="107">
        <v>50000</v>
      </c>
      <c r="I86" s="107">
        <v>0</v>
      </c>
      <c r="J86" s="107">
        <v>0</v>
      </c>
      <c r="K86" s="107">
        <v>0</v>
      </c>
      <c r="L86" s="107">
        <v>0</v>
      </c>
      <c r="M86" s="107">
        <v>0</v>
      </c>
      <c r="N86" s="99">
        <v>270000</v>
      </c>
      <c r="O86" s="100"/>
      <c r="Q86" s="95"/>
      <c r="R86" s="95"/>
    </row>
    <row r="87" spans="1:21" x14ac:dyDescent="0.35">
      <c r="A87" s="98" t="s">
        <v>247</v>
      </c>
      <c r="B87" s="107">
        <v>0</v>
      </c>
      <c r="C87" s="107">
        <v>13000</v>
      </c>
      <c r="D87" s="107">
        <v>30000</v>
      </c>
      <c r="E87" s="107">
        <v>0</v>
      </c>
      <c r="F87" s="107">
        <v>60000</v>
      </c>
      <c r="G87" s="107">
        <v>0</v>
      </c>
      <c r="H87" s="107">
        <v>30000</v>
      </c>
      <c r="I87" s="107">
        <v>0</v>
      </c>
      <c r="J87" s="107">
        <v>0</v>
      </c>
      <c r="K87" s="107">
        <v>0</v>
      </c>
      <c r="L87" s="107">
        <v>70000</v>
      </c>
      <c r="M87" s="107">
        <v>67012</v>
      </c>
      <c r="N87" s="99">
        <v>270012</v>
      </c>
      <c r="O87" s="100"/>
      <c r="Q87" s="95"/>
      <c r="S87" s="95"/>
    </row>
    <row r="88" spans="1:21" x14ac:dyDescent="0.35">
      <c r="A88" s="98" t="s">
        <v>248</v>
      </c>
      <c r="B88" s="107">
        <v>0</v>
      </c>
      <c r="C88" s="107">
        <v>20000</v>
      </c>
      <c r="D88" s="107">
        <v>12000</v>
      </c>
      <c r="E88" s="107">
        <v>0</v>
      </c>
      <c r="F88" s="107">
        <v>100000</v>
      </c>
      <c r="G88" s="107">
        <v>0</v>
      </c>
      <c r="H88" s="107">
        <v>17000</v>
      </c>
      <c r="I88" s="107">
        <v>0</v>
      </c>
      <c r="J88" s="107">
        <v>178000</v>
      </c>
      <c r="K88" s="107">
        <v>30000</v>
      </c>
      <c r="L88" s="107">
        <v>0</v>
      </c>
      <c r="M88" s="107">
        <v>23000</v>
      </c>
      <c r="N88" s="99">
        <v>380000</v>
      </c>
      <c r="O88" s="100"/>
      <c r="Q88" s="95"/>
      <c r="S88" s="95"/>
    </row>
    <row r="89" spans="1:21" x14ac:dyDescent="0.35">
      <c r="A89" s="98" t="s">
        <v>249</v>
      </c>
      <c r="B89" s="107">
        <v>650804</v>
      </c>
      <c r="C89" s="107">
        <v>660084</v>
      </c>
      <c r="D89" s="107">
        <v>650079</v>
      </c>
      <c r="E89" s="107">
        <v>0</v>
      </c>
      <c r="F89" s="107">
        <v>682551</v>
      </c>
      <c r="G89" s="107">
        <v>682281</v>
      </c>
      <c r="H89" s="107">
        <v>639046</v>
      </c>
      <c r="I89" s="107">
        <v>682488</v>
      </c>
      <c r="J89" s="107">
        <v>0</v>
      </c>
      <c r="K89" s="107">
        <v>647071</v>
      </c>
      <c r="L89" s="107">
        <v>650077</v>
      </c>
      <c r="M89" s="107">
        <v>0</v>
      </c>
      <c r="N89" s="99">
        <v>5944481</v>
      </c>
      <c r="O89" s="100"/>
      <c r="Q89" s="95"/>
    </row>
    <row r="90" spans="1:21" x14ac:dyDescent="0.35">
      <c r="A90" s="98" t="s">
        <v>250</v>
      </c>
      <c r="B90" s="107">
        <v>0</v>
      </c>
      <c r="C90" s="107">
        <v>0</v>
      </c>
      <c r="D90" s="107">
        <v>0</v>
      </c>
      <c r="E90" s="107">
        <v>0</v>
      </c>
      <c r="F90" s="107">
        <v>0</v>
      </c>
      <c r="G90" s="107">
        <v>0</v>
      </c>
      <c r="H90" s="107">
        <v>0</v>
      </c>
      <c r="I90" s="107">
        <v>0</v>
      </c>
      <c r="J90" s="107">
        <v>0</v>
      </c>
      <c r="K90" s="107">
        <v>0</v>
      </c>
      <c r="L90" s="107">
        <v>0</v>
      </c>
      <c r="M90" s="107">
        <v>130000</v>
      </c>
      <c r="N90" s="99">
        <v>130000</v>
      </c>
      <c r="O90" s="100"/>
      <c r="Q90" s="95"/>
    </row>
    <row r="91" spans="1:21" x14ac:dyDescent="0.35">
      <c r="A91" s="98" t="s">
        <v>251</v>
      </c>
      <c r="B91" s="107">
        <v>0</v>
      </c>
      <c r="C91" s="107">
        <v>0</v>
      </c>
      <c r="D91" s="107">
        <v>0</v>
      </c>
      <c r="E91" s="107">
        <v>0</v>
      </c>
      <c r="F91" s="107">
        <v>0</v>
      </c>
      <c r="G91" s="107">
        <v>29562</v>
      </c>
      <c r="H91" s="107">
        <v>0</v>
      </c>
      <c r="I91" s="107">
        <v>0</v>
      </c>
      <c r="J91" s="107">
        <v>0</v>
      </c>
      <c r="K91" s="107">
        <v>0</v>
      </c>
      <c r="L91" s="107">
        <v>0</v>
      </c>
      <c r="M91" s="107">
        <v>0</v>
      </c>
      <c r="N91" s="99">
        <v>29562</v>
      </c>
      <c r="O91" s="100"/>
      <c r="Q91" s="95"/>
      <c r="S91" s="95"/>
    </row>
    <row r="92" spans="1:21" x14ac:dyDescent="0.35">
      <c r="A92" s="98"/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99"/>
      <c r="O92" s="100"/>
    </row>
    <row r="93" spans="1:21" x14ac:dyDescent="0.35">
      <c r="A93" s="98"/>
      <c r="B93" s="108"/>
      <c r="C93" s="108"/>
      <c r="D93" s="108"/>
      <c r="E93" s="108"/>
      <c r="F93" s="98"/>
      <c r="G93" s="98"/>
      <c r="H93" s="98"/>
      <c r="I93" s="98"/>
      <c r="J93" s="98"/>
      <c r="K93" s="98"/>
      <c r="L93" s="98"/>
      <c r="M93" s="98"/>
      <c r="N93" s="99"/>
      <c r="O93" s="100"/>
    </row>
    <row r="94" spans="1:21" x14ac:dyDescent="0.35">
      <c r="A94" s="98" t="s">
        <v>252</v>
      </c>
      <c r="B94" s="106">
        <f t="shared" ref="B94:N94" si="0">SUM(B6:B93)</f>
        <v>47367726.780000001</v>
      </c>
      <c r="C94" s="106">
        <f t="shared" si="0"/>
        <v>40206931.240000002</v>
      </c>
      <c r="D94" s="106">
        <f t="shared" si="0"/>
        <v>44426536.390000001</v>
      </c>
      <c r="E94" s="106">
        <f t="shared" si="0"/>
        <v>40487594.980000004</v>
      </c>
      <c r="F94" s="106">
        <f t="shared" si="0"/>
        <v>44049797.640000001</v>
      </c>
      <c r="G94" s="106">
        <f t="shared" si="0"/>
        <v>38238773.189999998</v>
      </c>
      <c r="H94" s="106">
        <f t="shared" si="0"/>
        <v>35929421.170000002</v>
      </c>
      <c r="I94" s="106">
        <f t="shared" si="0"/>
        <v>33994753.109999999</v>
      </c>
      <c r="J94" s="106">
        <f t="shared" si="0"/>
        <v>33782150.200000003</v>
      </c>
      <c r="K94" s="106">
        <f t="shared" si="0"/>
        <v>40409841</v>
      </c>
      <c r="L94" s="106">
        <f t="shared" si="0"/>
        <v>35852134.939999998</v>
      </c>
      <c r="M94" s="106">
        <f t="shared" si="0"/>
        <v>47328575.479999997</v>
      </c>
      <c r="N94" s="106">
        <f t="shared" si="0"/>
        <v>482074236.12</v>
      </c>
      <c r="O94" s="109"/>
      <c r="P94" s="94"/>
      <c r="Q94" s="94"/>
      <c r="R94" s="94"/>
      <c r="S94" s="94"/>
      <c r="T94" s="94"/>
      <c r="U94" s="94"/>
    </row>
    <row r="95" spans="1:21" x14ac:dyDescent="0.35">
      <c r="B95" s="95"/>
      <c r="C95" s="95"/>
      <c r="D95" s="95"/>
      <c r="E95" s="95"/>
      <c r="F95" s="95"/>
    </row>
    <row r="97" spans="2:6" x14ac:dyDescent="0.35">
      <c r="B97" s="110"/>
      <c r="C97" s="110"/>
      <c r="D97" s="110"/>
      <c r="E97" s="110"/>
      <c r="F97" s="110"/>
    </row>
    <row r="98" spans="2:6" x14ac:dyDescent="0.35">
      <c r="B98" s="110"/>
      <c r="C98" s="110"/>
      <c r="D98" s="110"/>
      <c r="E98" s="110"/>
      <c r="F98" s="110"/>
    </row>
    <row r="99" spans="2:6" x14ac:dyDescent="0.35">
      <c r="B99" s="110"/>
      <c r="C99" s="110"/>
      <c r="D99" s="110"/>
      <c r="E99" s="110"/>
      <c r="F99" s="110"/>
    </row>
  </sheetData>
  <mergeCells count="8">
    <mergeCell ref="A35:A38"/>
    <mergeCell ref="A45:A48"/>
    <mergeCell ref="A10:A11"/>
    <mergeCell ref="A12:A14"/>
    <mergeCell ref="A17:A22"/>
    <mergeCell ref="A23:A24"/>
    <mergeCell ref="A27:A28"/>
    <mergeCell ref="A29:A3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39D3-AD8B-40D3-BD05-E4694DFB5253}">
  <dimension ref="B1:P95"/>
  <sheetViews>
    <sheetView tabSelected="1" zoomScale="40" zoomScaleNormal="40" workbookViewId="0">
      <pane xSplit="2" ySplit="8" topLeftCell="C66" activePane="bottomRight" state="frozen"/>
      <selection pane="topRight" activeCell="C1" sqref="C1"/>
      <selection pane="bottomLeft" activeCell="A9" sqref="A9"/>
      <selection pane="bottomRight" activeCell="O96" sqref="O96"/>
    </sheetView>
  </sheetViews>
  <sheetFormatPr defaultColWidth="9.26953125" defaultRowHeight="15.5" x14ac:dyDescent="0.35"/>
  <cols>
    <col min="1" max="1" width="9.26953125" style="75"/>
    <col min="2" max="2" width="56.453125" style="75" bestFit="1" customWidth="1"/>
    <col min="3" max="3" width="14.6328125" style="75" bestFit="1" customWidth="1"/>
    <col min="4" max="4" width="15.36328125" style="75" bestFit="1" customWidth="1"/>
    <col min="5" max="6" width="14.6328125" style="75" bestFit="1" customWidth="1"/>
    <col min="7" max="7" width="15.36328125" style="75" bestFit="1" customWidth="1"/>
    <col min="8" max="8" width="14.1796875" style="75" bestFit="1" customWidth="1"/>
    <col min="9" max="9" width="15.36328125" style="75" bestFit="1" customWidth="1"/>
    <col min="10" max="11" width="14.6328125" style="75" bestFit="1" customWidth="1"/>
    <col min="12" max="12" width="15.36328125" style="75" bestFit="1" customWidth="1"/>
    <col min="13" max="13" width="14.6328125" style="75" bestFit="1" customWidth="1"/>
    <col min="14" max="14" width="15.36328125" style="75" bestFit="1" customWidth="1"/>
    <col min="15" max="15" width="16.26953125" style="75" bestFit="1" customWidth="1"/>
    <col min="16" max="16" width="11.7265625" style="75" bestFit="1" customWidth="1"/>
    <col min="17" max="16384" width="9.26953125" style="75"/>
  </cols>
  <sheetData>
    <row r="1" spans="2:16" ht="12.75" customHeight="1" x14ac:dyDescent="0.35">
      <c r="C1" s="76"/>
    </row>
    <row r="2" spans="2:16" ht="12.75" customHeight="1" x14ac:dyDescent="0.35">
      <c r="C2" s="76"/>
    </row>
    <row r="3" spans="2:16" x14ac:dyDescent="0.35"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2:16" ht="12.75" customHeight="1" x14ac:dyDescent="0.35">
      <c r="C4" s="78"/>
      <c r="D4" s="78"/>
      <c r="E4" s="78"/>
      <c r="F4" s="78"/>
    </row>
    <row r="5" spans="2:16" ht="23.25" customHeight="1" x14ac:dyDescent="0.35">
      <c r="B5" s="77" t="s">
        <v>267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</row>
    <row r="6" spans="2:16" x14ac:dyDescent="0.35">
      <c r="B6" s="111"/>
      <c r="C6" s="111"/>
      <c r="D6" s="111"/>
      <c r="E6" s="111"/>
      <c r="F6" s="111"/>
      <c r="N6" s="79"/>
      <c r="O6" s="112"/>
    </row>
    <row r="7" spans="2:16" x14ac:dyDescent="0.35">
      <c r="B7" s="80"/>
      <c r="C7" s="80"/>
      <c r="D7" s="80"/>
      <c r="E7" s="80"/>
      <c r="F7" s="80"/>
    </row>
    <row r="8" spans="2:16" x14ac:dyDescent="0.35">
      <c r="B8" s="81" t="s">
        <v>184</v>
      </c>
      <c r="C8" s="99" t="s">
        <v>185</v>
      </c>
      <c r="D8" s="99" t="s">
        <v>186</v>
      </c>
      <c r="E8" s="99" t="s">
        <v>187</v>
      </c>
      <c r="F8" s="99" t="s">
        <v>188</v>
      </c>
      <c r="G8" s="99" t="s">
        <v>189</v>
      </c>
      <c r="H8" s="99" t="s">
        <v>190</v>
      </c>
      <c r="I8" s="99" t="s">
        <v>191</v>
      </c>
      <c r="J8" s="99" t="s">
        <v>192</v>
      </c>
      <c r="K8" s="99" t="s">
        <v>193</v>
      </c>
      <c r="L8" s="99" t="s">
        <v>194</v>
      </c>
      <c r="M8" s="99" t="s">
        <v>195</v>
      </c>
      <c r="N8" s="99" t="s">
        <v>196</v>
      </c>
      <c r="O8" s="99" t="s">
        <v>181</v>
      </c>
    </row>
    <row r="9" spans="2:16" x14ac:dyDescent="0.35">
      <c r="B9" s="81" t="s">
        <v>197</v>
      </c>
      <c r="C9" s="82">
        <v>18355339</v>
      </c>
      <c r="D9" s="82">
        <v>12886187</v>
      </c>
      <c r="E9" s="82">
        <v>17418527</v>
      </c>
      <c r="F9" s="82">
        <v>16133983</v>
      </c>
      <c r="G9" s="82">
        <v>13708883</v>
      </c>
      <c r="H9" s="82">
        <v>14245651</v>
      </c>
      <c r="I9" s="82">
        <v>18396291</v>
      </c>
      <c r="J9" s="82">
        <v>16308593</v>
      </c>
      <c r="K9" s="82">
        <v>15582292</v>
      </c>
      <c r="L9" s="82">
        <v>19817285</v>
      </c>
      <c r="M9" s="82">
        <v>18000254</v>
      </c>
      <c r="N9" s="82">
        <v>15490902</v>
      </c>
      <c r="O9" s="82">
        <f t="shared" ref="O9:O94" si="0">SUM(C9:N9)</f>
        <v>196344187</v>
      </c>
    </row>
    <row r="10" spans="2:16" x14ac:dyDescent="0.35">
      <c r="B10" s="81" t="s">
        <v>253</v>
      </c>
      <c r="C10" s="82">
        <v>4380605</v>
      </c>
      <c r="D10" s="82">
        <v>3815178</v>
      </c>
      <c r="E10" s="82">
        <v>3328641</v>
      </c>
      <c r="F10" s="82">
        <v>2381709</v>
      </c>
      <c r="G10" s="82">
        <v>3264306</v>
      </c>
      <c r="H10" s="82">
        <v>4823535</v>
      </c>
      <c r="I10" s="82">
        <v>1897469</v>
      </c>
      <c r="J10" s="82">
        <v>2836227</v>
      </c>
      <c r="K10" s="82">
        <v>5115879</v>
      </c>
      <c r="L10" s="82">
        <v>3810826</v>
      </c>
      <c r="M10" s="82">
        <v>2943294</v>
      </c>
      <c r="N10" s="82">
        <v>5780209</v>
      </c>
      <c r="O10" s="82">
        <f t="shared" si="0"/>
        <v>44377878</v>
      </c>
      <c r="P10" s="79"/>
    </row>
    <row r="11" spans="2:16" x14ac:dyDescent="0.35">
      <c r="B11" s="87" t="s">
        <v>199</v>
      </c>
      <c r="C11" s="82">
        <v>2914948</v>
      </c>
      <c r="D11" s="82">
        <v>714262</v>
      </c>
      <c r="E11" s="82">
        <v>5233223</v>
      </c>
      <c r="F11" s="82">
        <v>1775676</v>
      </c>
      <c r="G11" s="82">
        <v>3430583</v>
      </c>
      <c r="H11" s="82">
        <v>1865207</v>
      </c>
      <c r="I11" s="82">
        <v>3993226</v>
      </c>
      <c r="J11" s="82">
        <v>846207</v>
      </c>
      <c r="K11" s="82">
        <v>2965785</v>
      </c>
      <c r="L11" s="82">
        <v>4262661</v>
      </c>
      <c r="M11" s="82">
        <v>348965</v>
      </c>
      <c r="N11" s="82">
        <v>3339808</v>
      </c>
      <c r="O11" s="99"/>
    </row>
    <row r="12" spans="2:16" x14ac:dyDescent="0.35">
      <c r="B12" s="85" t="s">
        <v>155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99">
        <f>'[1]2.1_Recon_Crude Lifting'!M113</f>
        <v>14139066</v>
      </c>
    </row>
    <row r="13" spans="2:16" x14ac:dyDescent="0.35">
      <c r="B13" s="85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99">
        <f>'[1]2.1_Recon_Crude Lifting'!M114</f>
        <v>4753036</v>
      </c>
    </row>
    <row r="14" spans="2:16" x14ac:dyDescent="0.35">
      <c r="B14" s="86" t="s">
        <v>25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99">
        <f>'[1]2.1_Recon_Crude Lifting'!M115</f>
        <v>2255650</v>
      </c>
    </row>
    <row r="15" spans="2:16" x14ac:dyDescent="0.35">
      <c r="B15" s="86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99">
        <f>'[1]2.1_Recon_Crude Lifting'!M116</f>
        <v>1943932</v>
      </c>
    </row>
    <row r="16" spans="2:16" x14ac:dyDescent="0.35">
      <c r="B16" s="86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99">
        <f>'[1]2.1_Recon_Crude Lifting'!M117</f>
        <v>8598867</v>
      </c>
    </row>
    <row r="17" spans="2:15" x14ac:dyDescent="0.35">
      <c r="B17" s="87" t="s">
        <v>200</v>
      </c>
      <c r="C17" s="82">
        <v>1980288</v>
      </c>
      <c r="D17" s="82">
        <v>4686000</v>
      </c>
      <c r="E17" s="82">
        <v>3002221</v>
      </c>
      <c r="F17" s="82">
        <v>1001563</v>
      </c>
      <c r="G17" s="82">
        <v>7854780</v>
      </c>
      <c r="H17" s="82">
        <v>2958531</v>
      </c>
      <c r="I17" s="82">
        <v>4385496</v>
      </c>
      <c r="J17" s="82">
        <v>1049609</v>
      </c>
      <c r="K17" s="82">
        <v>3960754</v>
      </c>
      <c r="L17" s="82">
        <v>921181</v>
      </c>
      <c r="M17" s="82">
        <v>3542051</v>
      </c>
      <c r="N17" s="82">
        <v>5357345</v>
      </c>
      <c r="O17" s="99"/>
    </row>
    <row r="18" spans="2:15" x14ac:dyDescent="0.35">
      <c r="B18" s="86" t="s">
        <v>167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99">
        <f>'[1]2.1_Recon_Crude Lifting'!M119</f>
        <v>1988861</v>
      </c>
    </row>
    <row r="19" spans="2:15" x14ac:dyDescent="0.35">
      <c r="B19" s="86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99">
        <f>'[1]2.1_Recon_Crude Lifting'!M120</f>
        <v>2036805</v>
      </c>
    </row>
    <row r="20" spans="2:15" x14ac:dyDescent="0.35">
      <c r="B20" s="86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99">
        <f>'[1]2.1_Recon_Crude Lifting'!M121</f>
        <v>3105516</v>
      </c>
    </row>
    <row r="21" spans="2:15" x14ac:dyDescent="0.35">
      <c r="B21" s="86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99">
        <f>'[1]2.1_Recon_Crude Lifting'!M122</f>
        <v>995675</v>
      </c>
    </row>
    <row r="22" spans="2:15" x14ac:dyDescent="0.35">
      <c r="B22" s="86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99">
        <f>'[1]2.1_Recon_Crude Lifting'!M123</f>
        <v>3064568</v>
      </c>
    </row>
    <row r="23" spans="2:15" x14ac:dyDescent="0.35">
      <c r="B23" s="86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99">
        <f>'[1]2.1_Recon_Crude Lifting'!M124</f>
        <v>14204719</v>
      </c>
    </row>
    <row r="24" spans="2:15" x14ac:dyDescent="0.35">
      <c r="B24" s="85" t="s">
        <v>171</v>
      </c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99">
        <f>'[1]2.1_Recon_Crude Lifting'!M125</f>
        <v>6170762</v>
      </c>
    </row>
    <row r="25" spans="2:15" x14ac:dyDescent="0.35">
      <c r="B25" s="85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99">
        <f>'[1]2.1_Recon_Crude Lifting'!M126</f>
        <v>9132913</v>
      </c>
    </row>
    <row r="26" spans="2:15" x14ac:dyDescent="0.35">
      <c r="B26" s="87" t="s">
        <v>201</v>
      </c>
      <c r="C26" s="82">
        <v>597132</v>
      </c>
      <c r="D26" s="82">
        <v>998431</v>
      </c>
      <c r="E26" s="82">
        <v>695000</v>
      </c>
      <c r="F26" s="82">
        <v>339053</v>
      </c>
      <c r="G26" s="82">
        <v>0</v>
      </c>
      <c r="H26" s="82">
        <v>1303422</v>
      </c>
      <c r="I26" s="82">
        <v>0</v>
      </c>
      <c r="J26" s="82">
        <v>348733</v>
      </c>
      <c r="K26" s="82">
        <v>2049588</v>
      </c>
      <c r="L26" s="82">
        <v>0</v>
      </c>
      <c r="M26" s="82">
        <v>999427</v>
      </c>
      <c r="N26" s="82">
        <v>586707</v>
      </c>
      <c r="O26" s="99"/>
    </row>
    <row r="27" spans="2:15" x14ac:dyDescent="0.35">
      <c r="B27" s="85" t="s">
        <v>100</v>
      </c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99">
        <f>'[1]2.1_Recon_Crude Lifting'!M53</f>
        <v>1522892</v>
      </c>
    </row>
    <row r="28" spans="2:15" x14ac:dyDescent="0.35">
      <c r="B28" s="85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99">
        <f>'[1]2.1_Recon_Crude Lifting'!M54</f>
        <v>2949915</v>
      </c>
    </row>
    <row r="29" spans="2:15" x14ac:dyDescent="0.35">
      <c r="B29" s="85" t="s">
        <v>39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99">
        <f>'[1]2.1_Recon_Crude Lifting'!M55</f>
        <v>1397240</v>
      </c>
    </row>
    <row r="30" spans="2:15" x14ac:dyDescent="0.35">
      <c r="B30" s="85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99">
        <f>'[1]2.1_Recon_Crude Lifting'!M56</f>
        <v>2047446</v>
      </c>
    </row>
    <row r="31" spans="2:15" x14ac:dyDescent="0.35">
      <c r="B31" s="81" t="s">
        <v>202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338526</v>
      </c>
      <c r="I31" s="82">
        <v>0</v>
      </c>
      <c r="J31" s="82">
        <v>248801</v>
      </c>
      <c r="K31" s="82">
        <v>0</v>
      </c>
      <c r="L31" s="82">
        <v>299243</v>
      </c>
      <c r="M31" s="82">
        <v>248982</v>
      </c>
      <c r="N31" s="82">
        <v>0</v>
      </c>
      <c r="O31" s="99">
        <f t="shared" si="0"/>
        <v>1135552</v>
      </c>
    </row>
    <row r="32" spans="2:15" x14ac:dyDescent="0.35">
      <c r="B32" s="81" t="s">
        <v>203</v>
      </c>
      <c r="C32" s="82">
        <v>430000</v>
      </c>
      <c r="D32" s="82">
        <v>150000</v>
      </c>
      <c r="E32" s="82">
        <v>300000</v>
      </c>
      <c r="F32" s="82">
        <v>400000</v>
      </c>
      <c r="G32" s="82">
        <v>165000</v>
      </c>
      <c r="H32" s="82">
        <v>525000</v>
      </c>
      <c r="I32" s="82">
        <v>0</v>
      </c>
      <c r="J32" s="82">
        <v>449049</v>
      </c>
      <c r="K32" s="82">
        <v>639533</v>
      </c>
      <c r="L32" s="82">
        <v>185000</v>
      </c>
      <c r="M32" s="82">
        <v>0</v>
      </c>
      <c r="N32" s="82">
        <v>852500</v>
      </c>
      <c r="O32" s="99">
        <f t="shared" si="0"/>
        <v>4096082</v>
      </c>
    </row>
    <row r="33" spans="2:15" x14ac:dyDescent="0.35">
      <c r="B33" s="81" t="s">
        <v>204</v>
      </c>
      <c r="C33" s="82">
        <v>0</v>
      </c>
      <c r="D33" s="82">
        <v>1471342</v>
      </c>
      <c r="E33" s="82">
        <v>0</v>
      </c>
      <c r="F33" s="82">
        <v>954292</v>
      </c>
      <c r="G33" s="82">
        <v>0</v>
      </c>
      <c r="H33" s="82">
        <v>0</v>
      </c>
      <c r="I33" s="82">
        <v>0</v>
      </c>
      <c r="J33" s="82">
        <v>987782</v>
      </c>
      <c r="K33" s="82">
        <v>0</v>
      </c>
      <c r="L33" s="82">
        <v>0</v>
      </c>
      <c r="M33" s="82">
        <v>0</v>
      </c>
      <c r="N33" s="82">
        <v>915264</v>
      </c>
      <c r="O33" s="99">
        <f t="shared" si="0"/>
        <v>4328680</v>
      </c>
    </row>
    <row r="34" spans="2:15" x14ac:dyDescent="0.35">
      <c r="B34" s="87" t="s">
        <v>205</v>
      </c>
      <c r="C34" s="82">
        <v>4895386</v>
      </c>
      <c r="D34" s="82">
        <v>2889530</v>
      </c>
      <c r="E34" s="82">
        <v>3500445</v>
      </c>
      <c r="F34" s="82">
        <v>2984154</v>
      </c>
      <c r="G34" s="82">
        <v>2943976</v>
      </c>
      <c r="H34" s="82">
        <v>4873327</v>
      </c>
      <c r="I34" s="82">
        <v>2939208</v>
      </c>
      <c r="J34" s="82">
        <v>3846879</v>
      </c>
      <c r="K34" s="82">
        <v>2693625</v>
      </c>
      <c r="L34" s="82">
        <v>3562353</v>
      </c>
      <c r="M34" s="82">
        <v>3017709</v>
      </c>
      <c r="N34" s="82">
        <v>4484243</v>
      </c>
      <c r="O34" s="99"/>
    </row>
    <row r="35" spans="2:15" x14ac:dyDescent="0.35">
      <c r="B35" s="85" t="s">
        <v>254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99">
        <f>'[1]2.1_Recon_Crude Lifting'!M15</f>
        <v>19573878</v>
      </c>
    </row>
    <row r="36" spans="2:15" x14ac:dyDescent="0.35">
      <c r="B36" s="85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99">
        <f>'[1]2.1_Recon_Crude Lifting'!M16</f>
        <v>0</v>
      </c>
    </row>
    <row r="37" spans="2:15" x14ac:dyDescent="0.35">
      <c r="B37" s="85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99">
        <f>'[1]2.1_Recon_Crude Lifting'!M17</f>
        <v>3997656</v>
      </c>
    </row>
    <row r="38" spans="2:15" x14ac:dyDescent="0.35">
      <c r="B38" s="85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99">
        <f>'[1]2.1_Recon_Crude Lifting'!M18</f>
        <v>0</v>
      </c>
    </row>
    <row r="39" spans="2:15" x14ac:dyDescent="0.35">
      <c r="B39" s="83" t="s">
        <v>255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99">
        <f>'[1]2.1_Recon_Crude Lifting'!M19</f>
        <v>14132914</v>
      </c>
    </row>
    <row r="40" spans="2:15" x14ac:dyDescent="0.35">
      <c r="B40" s="83" t="s">
        <v>206</v>
      </c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99">
        <f>'[1]2.1_Recon_Crude Lifting'!M20</f>
        <v>4926387</v>
      </c>
    </row>
    <row r="41" spans="2:15" x14ac:dyDescent="0.35">
      <c r="B41" s="87" t="s">
        <v>207</v>
      </c>
      <c r="C41" s="82">
        <v>3681244</v>
      </c>
      <c r="D41" s="82">
        <v>1841670</v>
      </c>
      <c r="E41" s="82">
        <v>6648755</v>
      </c>
      <c r="F41" s="82">
        <v>951188</v>
      </c>
      <c r="G41" s="82">
        <v>2630554</v>
      </c>
      <c r="H41" s="82">
        <v>4302863</v>
      </c>
      <c r="I41" s="82">
        <v>1196728</v>
      </c>
      <c r="J41" s="82">
        <v>4659799</v>
      </c>
      <c r="K41" s="82">
        <v>1948003</v>
      </c>
      <c r="L41" s="82">
        <v>2729731</v>
      </c>
      <c r="M41" s="82">
        <v>4485979</v>
      </c>
      <c r="N41" s="82">
        <v>2743345</v>
      </c>
      <c r="O41" s="99"/>
    </row>
    <row r="42" spans="2:15" x14ac:dyDescent="0.35">
      <c r="B42" s="83" t="s">
        <v>256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99">
        <f>'[1]2.1_Recon_Crude Lifting'!M33</f>
        <v>5697710</v>
      </c>
    </row>
    <row r="43" spans="2:15" x14ac:dyDescent="0.35">
      <c r="B43" s="83" t="s">
        <v>257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99">
        <f>'[1]2.1_Recon_Crude Lifting'!M34</f>
        <v>2957023</v>
      </c>
    </row>
    <row r="44" spans="2:15" x14ac:dyDescent="0.35">
      <c r="B44" s="83" t="s">
        <v>258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99">
        <f>'[1]2.1_Recon_Crude Lifting'!M35</f>
        <v>4827380</v>
      </c>
    </row>
    <row r="45" spans="2:15" x14ac:dyDescent="0.35">
      <c r="B45" s="86" t="s">
        <v>259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99">
        <f>'[1]2.1_Recon_Crude Lifting'!M36</f>
        <v>19334952</v>
      </c>
    </row>
    <row r="46" spans="2:15" x14ac:dyDescent="0.35">
      <c r="B46" s="86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99">
        <f>'[1]2.1_Recon_Crude Lifting'!M37</f>
        <v>4501926</v>
      </c>
    </row>
    <row r="47" spans="2:15" x14ac:dyDescent="0.35">
      <c r="B47" s="86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99">
        <f>'[1]2.1_Recon_Crude Lifting'!M38</f>
        <v>0</v>
      </c>
    </row>
    <row r="48" spans="2:15" x14ac:dyDescent="0.35">
      <c r="B48" s="86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99">
        <f>'[1]2.1_Recon_Crude Lifting'!M39</f>
        <v>500868</v>
      </c>
    </row>
    <row r="49" spans="2:15" x14ac:dyDescent="0.35">
      <c r="B49" s="81" t="s">
        <v>211</v>
      </c>
      <c r="C49" s="82">
        <v>0</v>
      </c>
      <c r="D49" s="82">
        <v>0</v>
      </c>
      <c r="E49" s="82">
        <v>0</v>
      </c>
      <c r="F49" s="82">
        <v>914523</v>
      </c>
      <c r="G49" s="82">
        <v>0</v>
      </c>
      <c r="H49" s="82">
        <v>0</v>
      </c>
      <c r="I49" s="82">
        <v>538788</v>
      </c>
      <c r="J49" s="82">
        <v>0</v>
      </c>
      <c r="K49" s="82">
        <v>0</v>
      </c>
      <c r="L49" s="82">
        <v>528962</v>
      </c>
      <c r="M49" s="82">
        <v>0</v>
      </c>
      <c r="N49" s="82">
        <v>0</v>
      </c>
      <c r="O49" s="99">
        <f t="shared" si="0"/>
        <v>1982273</v>
      </c>
    </row>
    <row r="50" spans="2:15" x14ac:dyDescent="0.35">
      <c r="B50" s="81" t="s">
        <v>212</v>
      </c>
      <c r="C50" s="82">
        <v>110000</v>
      </c>
      <c r="D50" s="82">
        <v>0</v>
      </c>
      <c r="E50" s="82">
        <v>0</v>
      </c>
      <c r="F50" s="82">
        <v>0</v>
      </c>
      <c r="G50" s="82">
        <v>80000</v>
      </c>
      <c r="H50" s="82">
        <v>100000</v>
      </c>
      <c r="I50" s="82">
        <v>0</v>
      </c>
      <c r="J50" s="82">
        <v>0</v>
      </c>
      <c r="K50" s="82">
        <v>0</v>
      </c>
      <c r="L50" s="82">
        <v>80000</v>
      </c>
      <c r="M50" s="82">
        <v>0</v>
      </c>
      <c r="N50" s="82">
        <v>0</v>
      </c>
      <c r="O50" s="99">
        <f t="shared" si="0"/>
        <v>370000</v>
      </c>
    </row>
    <row r="51" spans="2:15" x14ac:dyDescent="0.35">
      <c r="B51" s="81" t="s">
        <v>213</v>
      </c>
      <c r="C51" s="82">
        <v>5500</v>
      </c>
      <c r="D51" s="82">
        <v>0</v>
      </c>
      <c r="E51" s="82">
        <v>12000</v>
      </c>
      <c r="F51" s="82">
        <v>0</v>
      </c>
      <c r="G51" s="82">
        <v>0</v>
      </c>
      <c r="H51" s="82">
        <v>0</v>
      </c>
      <c r="I51" s="82">
        <v>0</v>
      </c>
      <c r="J51" s="82">
        <v>28900</v>
      </c>
      <c r="K51" s="82">
        <v>0</v>
      </c>
      <c r="L51" s="82">
        <v>0</v>
      </c>
      <c r="M51" s="82">
        <v>3980</v>
      </c>
      <c r="N51" s="82">
        <v>0</v>
      </c>
      <c r="O51" s="99">
        <f t="shared" si="0"/>
        <v>50380</v>
      </c>
    </row>
    <row r="52" spans="2:15" x14ac:dyDescent="0.35">
      <c r="B52" s="81" t="s">
        <v>260</v>
      </c>
      <c r="C52" s="82">
        <v>0</v>
      </c>
      <c r="D52" s="82">
        <v>269008</v>
      </c>
      <c r="E52" s="82">
        <v>0</v>
      </c>
      <c r="F52" s="82">
        <v>0</v>
      </c>
      <c r="G52" s="82">
        <v>0</v>
      </c>
      <c r="H52" s="82">
        <v>0</v>
      </c>
      <c r="I52" s="82">
        <v>0</v>
      </c>
      <c r="J52" s="82">
        <v>0</v>
      </c>
      <c r="K52" s="82">
        <v>99109</v>
      </c>
      <c r="L52" s="82">
        <v>0</v>
      </c>
      <c r="M52" s="82">
        <v>0</v>
      </c>
      <c r="N52" s="82">
        <v>0</v>
      </c>
      <c r="O52" s="99">
        <f t="shared" si="0"/>
        <v>368117</v>
      </c>
    </row>
    <row r="53" spans="2:15" x14ac:dyDescent="0.35">
      <c r="B53" s="81" t="s">
        <v>261</v>
      </c>
      <c r="C53" s="82">
        <v>0</v>
      </c>
      <c r="D53" s="82">
        <v>93867</v>
      </c>
      <c r="E53" s="82">
        <v>0</v>
      </c>
      <c r="F53" s="82">
        <v>0</v>
      </c>
      <c r="G53" s="82">
        <v>0</v>
      </c>
      <c r="H53" s="82">
        <v>0</v>
      </c>
      <c r="I53" s="82">
        <v>0</v>
      </c>
      <c r="J53" s="82">
        <v>0</v>
      </c>
      <c r="K53" s="82">
        <v>103359</v>
      </c>
      <c r="L53" s="82">
        <v>0</v>
      </c>
      <c r="M53" s="82">
        <v>0</v>
      </c>
      <c r="N53" s="82">
        <v>0</v>
      </c>
      <c r="O53" s="99">
        <f>SUM(C53:N53)</f>
        <v>197226</v>
      </c>
    </row>
    <row r="54" spans="2:15" x14ac:dyDescent="0.35">
      <c r="B54" s="81" t="s">
        <v>262</v>
      </c>
      <c r="C54" s="82">
        <v>0</v>
      </c>
      <c r="D54" s="82">
        <v>67312</v>
      </c>
      <c r="E54" s="82">
        <v>0</v>
      </c>
      <c r="F54" s="82">
        <v>0</v>
      </c>
      <c r="G54" s="82">
        <v>0</v>
      </c>
      <c r="H54" s="82">
        <v>0</v>
      </c>
      <c r="I54" s="82">
        <v>0</v>
      </c>
      <c r="J54" s="82">
        <v>0</v>
      </c>
      <c r="K54" s="82">
        <v>170299</v>
      </c>
      <c r="L54" s="82">
        <v>0</v>
      </c>
      <c r="M54" s="82">
        <v>0</v>
      </c>
      <c r="N54" s="82">
        <v>0</v>
      </c>
      <c r="O54" s="99">
        <f>SUM(C54:N54)</f>
        <v>237611</v>
      </c>
    </row>
    <row r="55" spans="2:15" x14ac:dyDescent="0.35">
      <c r="B55" s="81" t="s">
        <v>263</v>
      </c>
      <c r="C55" s="82">
        <v>0</v>
      </c>
      <c r="D55" s="82">
        <v>14391</v>
      </c>
      <c r="E55" s="82">
        <v>0</v>
      </c>
      <c r="F55" s="82">
        <v>0</v>
      </c>
      <c r="G55" s="82">
        <v>0</v>
      </c>
      <c r="H55" s="82">
        <v>0</v>
      </c>
      <c r="I55" s="82">
        <v>0</v>
      </c>
      <c r="J55" s="82">
        <v>0</v>
      </c>
      <c r="K55" s="82">
        <v>32759</v>
      </c>
      <c r="L55" s="82">
        <v>0</v>
      </c>
      <c r="M55" s="82">
        <v>0</v>
      </c>
      <c r="N55" s="82">
        <v>0</v>
      </c>
      <c r="O55" s="99">
        <f>SUM(C55:N55)</f>
        <v>47150</v>
      </c>
    </row>
    <row r="56" spans="2:15" x14ac:dyDescent="0.35">
      <c r="B56" s="81" t="s">
        <v>214</v>
      </c>
      <c r="C56" s="82">
        <v>40000</v>
      </c>
      <c r="D56" s="82">
        <v>0</v>
      </c>
      <c r="E56" s="82">
        <v>0</v>
      </c>
      <c r="F56" s="82">
        <v>0</v>
      </c>
      <c r="G56" s="82">
        <v>0</v>
      </c>
      <c r="H56" s="82">
        <v>0</v>
      </c>
      <c r="I56" s="82">
        <v>0</v>
      </c>
      <c r="J56" s="82">
        <v>0</v>
      </c>
      <c r="K56" s="82">
        <v>0</v>
      </c>
      <c r="L56" s="82">
        <v>0</v>
      </c>
      <c r="M56" s="82">
        <v>0</v>
      </c>
      <c r="N56" s="82">
        <v>0</v>
      </c>
      <c r="O56" s="99">
        <f t="shared" si="0"/>
        <v>40000</v>
      </c>
    </row>
    <row r="57" spans="2:15" x14ac:dyDescent="0.35">
      <c r="B57" s="81" t="s">
        <v>215</v>
      </c>
      <c r="C57" s="82">
        <v>0</v>
      </c>
      <c r="D57" s="82">
        <v>0</v>
      </c>
      <c r="E57" s="82">
        <v>937654</v>
      </c>
      <c r="F57" s="82">
        <v>0</v>
      </c>
      <c r="G57" s="82">
        <v>0</v>
      </c>
      <c r="H57" s="82">
        <v>984952</v>
      </c>
      <c r="I57" s="82">
        <v>0</v>
      </c>
      <c r="J57" s="82">
        <v>951164</v>
      </c>
      <c r="K57" s="82">
        <v>0</v>
      </c>
      <c r="L57" s="82">
        <v>0</v>
      </c>
      <c r="M57" s="82">
        <v>0</v>
      </c>
      <c r="N57" s="82">
        <v>0</v>
      </c>
      <c r="O57" s="99">
        <f t="shared" si="0"/>
        <v>2873770</v>
      </c>
    </row>
    <row r="58" spans="2:15" x14ac:dyDescent="0.35">
      <c r="B58" s="81" t="s">
        <v>216</v>
      </c>
      <c r="C58" s="82">
        <v>0</v>
      </c>
      <c r="D58" s="82">
        <v>0</v>
      </c>
      <c r="E58" s="82">
        <v>0</v>
      </c>
      <c r="F58" s="82">
        <v>719924</v>
      </c>
      <c r="G58" s="82">
        <v>0</v>
      </c>
      <c r="H58" s="82">
        <v>0</v>
      </c>
      <c r="I58" s="82">
        <v>0</v>
      </c>
      <c r="J58" s="82">
        <v>0</v>
      </c>
      <c r="K58" s="82">
        <v>178540</v>
      </c>
      <c r="L58" s="82">
        <v>144400</v>
      </c>
      <c r="M58" s="82">
        <v>200600</v>
      </c>
      <c r="N58" s="82">
        <v>0</v>
      </c>
      <c r="O58" s="99">
        <f t="shared" si="0"/>
        <v>1243464</v>
      </c>
    </row>
    <row r="59" spans="2:15" x14ac:dyDescent="0.35">
      <c r="B59" s="81" t="s">
        <v>217</v>
      </c>
      <c r="C59" s="82">
        <v>0</v>
      </c>
      <c r="D59" s="82">
        <v>0</v>
      </c>
      <c r="E59" s="82">
        <v>0</v>
      </c>
      <c r="F59" s="82">
        <v>0</v>
      </c>
      <c r="G59" s="82">
        <v>0</v>
      </c>
      <c r="H59" s="82">
        <v>404267</v>
      </c>
      <c r="I59" s="82">
        <v>0</v>
      </c>
      <c r="J59" s="82">
        <v>0</v>
      </c>
      <c r="K59" s="82">
        <v>0</v>
      </c>
      <c r="L59" s="82">
        <v>0</v>
      </c>
      <c r="M59" s="82">
        <v>0</v>
      </c>
      <c r="N59" s="82">
        <v>305429</v>
      </c>
      <c r="O59" s="99">
        <f t="shared" si="0"/>
        <v>709696</v>
      </c>
    </row>
    <row r="60" spans="2:15" x14ac:dyDescent="0.35">
      <c r="B60" s="81" t="s">
        <v>218</v>
      </c>
      <c r="C60" s="82">
        <v>84772</v>
      </c>
      <c r="D60" s="82">
        <v>255329</v>
      </c>
      <c r="E60" s="82">
        <v>346281</v>
      </c>
      <c r="F60" s="82">
        <v>279384</v>
      </c>
      <c r="G60" s="82">
        <v>798589</v>
      </c>
      <c r="H60" s="82">
        <v>882079</v>
      </c>
      <c r="I60" s="82">
        <v>226270</v>
      </c>
      <c r="J60" s="82">
        <v>319004</v>
      </c>
      <c r="K60" s="82">
        <v>485997</v>
      </c>
      <c r="L60" s="82">
        <v>514191</v>
      </c>
      <c r="M60" s="82">
        <v>159614</v>
      </c>
      <c r="N60" s="82">
        <v>743035</v>
      </c>
      <c r="O60" s="99">
        <f t="shared" si="0"/>
        <v>5094545</v>
      </c>
    </row>
    <row r="61" spans="2:15" x14ac:dyDescent="0.35">
      <c r="B61" s="81" t="s">
        <v>219</v>
      </c>
      <c r="C61" s="82">
        <v>0</v>
      </c>
      <c r="D61" s="82">
        <v>123076</v>
      </c>
      <c r="E61" s="82">
        <v>34620</v>
      </c>
      <c r="F61" s="82">
        <v>16054</v>
      </c>
      <c r="G61" s="82">
        <v>182712</v>
      </c>
      <c r="H61" s="82">
        <v>23800</v>
      </c>
      <c r="I61" s="82">
        <v>100800</v>
      </c>
      <c r="J61" s="82">
        <v>0</v>
      </c>
      <c r="K61" s="82">
        <v>144000</v>
      </c>
      <c r="L61" s="82">
        <v>141360</v>
      </c>
      <c r="M61" s="82">
        <v>137760</v>
      </c>
      <c r="N61" s="82">
        <v>0</v>
      </c>
      <c r="O61" s="99">
        <f t="shared" si="0"/>
        <v>904182</v>
      </c>
    </row>
    <row r="62" spans="2:15" x14ac:dyDescent="0.35">
      <c r="B62" s="81" t="s">
        <v>220</v>
      </c>
      <c r="C62" s="82">
        <v>251122.84000000003</v>
      </c>
      <c r="D62" s="82">
        <v>210606.28</v>
      </c>
      <c r="E62" s="82">
        <v>133783.62</v>
      </c>
      <c r="F62" s="82">
        <v>171612.52000000002</v>
      </c>
      <c r="G62" s="82">
        <v>149600.22</v>
      </c>
      <c r="H62" s="82">
        <v>242820.03</v>
      </c>
      <c r="I62" s="82">
        <v>195566.9</v>
      </c>
      <c r="J62" s="82">
        <v>207095.13</v>
      </c>
      <c r="K62" s="82">
        <v>145547.34</v>
      </c>
      <c r="L62" s="82">
        <v>242442</v>
      </c>
      <c r="M62" s="82">
        <v>113291.76000000001</v>
      </c>
      <c r="N62" s="82">
        <v>243661.81</v>
      </c>
      <c r="O62" s="99">
        <f t="shared" si="0"/>
        <v>2307150.4500000002</v>
      </c>
    </row>
    <row r="63" spans="2:15" x14ac:dyDescent="0.35">
      <c r="B63" s="81" t="s">
        <v>221</v>
      </c>
      <c r="C63" s="82">
        <v>999313</v>
      </c>
      <c r="D63" s="82">
        <v>0</v>
      </c>
      <c r="E63" s="82">
        <v>953332</v>
      </c>
      <c r="F63" s="82">
        <v>0</v>
      </c>
      <c r="G63" s="82">
        <v>998649</v>
      </c>
      <c r="H63" s="82">
        <v>0</v>
      </c>
      <c r="I63" s="82">
        <v>0</v>
      </c>
      <c r="J63" s="82">
        <v>0</v>
      </c>
      <c r="K63" s="82">
        <v>999536</v>
      </c>
      <c r="L63" s="82">
        <v>0</v>
      </c>
      <c r="M63" s="82">
        <v>0</v>
      </c>
      <c r="N63" s="82">
        <v>0</v>
      </c>
      <c r="O63" s="99">
        <f t="shared" si="0"/>
        <v>3950830</v>
      </c>
    </row>
    <row r="64" spans="2:15" x14ac:dyDescent="0.35">
      <c r="B64" s="81" t="s">
        <v>222</v>
      </c>
      <c r="C64" s="82">
        <v>0</v>
      </c>
      <c r="D64" s="82">
        <v>998933</v>
      </c>
      <c r="E64" s="82">
        <v>0</v>
      </c>
      <c r="F64" s="82">
        <v>0</v>
      </c>
      <c r="G64" s="82">
        <v>998510</v>
      </c>
      <c r="H64" s="82">
        <v>0</v>
      </c>
      <c r="I64" s="82">
        <v>0</v>
      </c>
      <c r="J64" s="82">
        <v>1000611</v>
      </c>
      <c r="K64" s="82">
        <v>999113</v>
      </c>
      <c r="L64" s="82">
        <v>0</v>
      </c>
      <c r="M64" s="82">
        <v>998849</v>
      </c>
      <c r="N64" s="82">
        <v>0</v>
      </c>
      <c r="O64" s="99">
        <f t="shared" si="0"/>
        <v>4996016</v>
      </c>
    </row>
    <row r="65" spans="2:15" x14ac:dyDescent="0.35">
      <c r="B65" s="81" t="s">
        <v>223</v>
      </c>
      <c r="C65" s="82">
        <v>1001384</v>
      </c>
      <c r="D65" s="82">
        <v>0</v>
      </c>
      <c r="E65" s="82">
        <v>2000940</v>
      </c>
      <c r="F65" s="82">
        <v>1000924</v>
      </c>
      <c r="G65" s="82">
        <v>0</v>
      </c>
      <c r="H65" s="82">
        <v>0</v>
      </c>
      <c r="I65" s="82">
        <v>1000768</v>
      </c>
      <c r="J65" s="82">
        <v>0</v>
      </c>
      <c r="K65" s="82">
        <v>1000968</v>
      </c>
      <c r="L65" s="82">
        <v>0</v>
      </c>
      <c r="M65" s="82">
        <v>0</v>
      </c>
      <c r="N65" s="82">
        <v>949265</v>
      </c>
      <c r="O65" s="99">
        <f t="shared" si="0"/>
        <v>6954249</v>
      </c>
    </row>
    <row r="66" spans="2:15" x14ac:dyDescent="0.35">
      <c r="B66" s="81" t="s">
        <v>224</v>
      </c>
      <c r="C66" s="82">
        <v>1997332</v>
      </c>
      <c r="D66" s="82">
        <v>1001128</v>
      </c>
      <c r="E66" s="82">
        <v>1000239</v>
      </c>
      <c r="F66" s="82">
        <v>0</v>
      </c>
      <c r="G66" s="82">
        <v>997795</v>
      </c>
      <c r="H66" s="82">
        <v>2049158</v>
      </c>
      <c r="I66" s="82">
        <v>999522</v>
      </c>
      <c r="J66" s="82">
        <v>4003591</v>
      </c>
      <c r="K66" s="82">
        <v>995344</v>
      </c>
      <c r="L66" s="82">
        <v>997634</v>
      </c>
      <c r="M66" s="82">
        <v>951463</v>
      </c>
      <c r="N66" s="82">
        <v>1976312</v>
      </c>
      <c r="O66" s="99">
        <f t="shared" si="0"/>
        <v>16969518</v>
      </c>
    </row>
    <row r="67" spans="2:15" x14ac:dyDescent="0.35">
      <c r="B67" s="81" t="s">
        <v>225</v>
      </c>
      <c r="C67" s="82">
        <v>0</v>
      </c>
      <c r="D67" s="82">
        <v>999204</v>
      </c>
      <c r="E67" s="82">
        <v>0</v>
      </c>
      <c r="F67" s="82">
        <v>0</v>
      </c>
      <c r="G67" s="82">
        <v>0</v>
      </c>
      <c r="H67" s="82">
        <v>0</v>
      </c>
      <c r="I67" s="82">
        <v>999472</v>
      </c>
      <c r="J67" s="82">
        <v>0</v>
      </c>
      <c r="K67" s="82">
        <v>0</v>
      </c>
      <c r="L67" s="82">
        <v>0</v>
      </c>
      <c r="M67" s="82">
        <v>0</v>
      </c>
      <c r="N67" s="82">
        <v>999748</v>
      </c>
      <c r="O67" s="99">
        <f t="shared" si="0"/>
        <v>2998424</v>
      </c>
    </row>
    <row r="68" spans="2:15" x14ac:dyDescent="0.35">
      <c r="B68" s="81" t="s">
        <v>226</v>
      </c>
      <c r="C68" s="82">
        <v>1000599</v>
      </c>
      <c r="D68" s="82">
        <v>1001306</v>
      </c>
      <c r="E68" s="82">
        <v>0</v>
      </c>
      <c r="F68" s="82">
        <v>2001103</v>
      </c>
      <c r="G68" s="82">
        <v>0</v>
      </c>
      <c r="H68" s="82">
        <v>996564</v>
      </c>
      <c r="I68" s="82">
        <v>951169</v>
      </c>
      <c r="J68" s="82">
        <v>998997</v>
      </c>
      <c r="K68" s="82">
        <v>0</v>
      </c>
      <c r="L68" s="82">
        <v>1993662</v>
      </c>
      <c r="M68" s="82">
        <v>0</v>
      </c>
      <c r="N68" s="82">
        <v>949845</v>
      </c>
      <c r="O68" s="99">
        <f t="shared" si="0"/>
        <v>9893245</v>
      </c>
    </row>
    <row r="69" spans="2:15" x14ac:dyDescent="0.35">
      <c r="B69" s="81" t="s">
        <v>227</v>
      </c>
      <c r="C69" s="82">
        <v>0</v>
      </c>
      <c r="D69" s="82">
        <v>200000</v>
      </c>
      <c r="E69" s="82">
        <v>100000</v>
      </c>
      <c r="F69" s="82">
        <v>0</v>
      </c>
      <c r="G69" s="82">
        <v>160000</v>
      </c>
      <c r="H69" s="82">
        <v>0</v>
      </c>
      <c r="I69" s="82">
        <v>0</v>
      </c>
      <c r="J69" s="82">
        <v>280000</v>
      </c>
      <c r="K69" s="82">
        <v>0</v>
      </c>
      <c r="L69" s="82">
        <v>190000</v>
      </c>
      <c r="M69" s="82">
        <v>0</v>
      </c>
      <c r="N69" s="82">
        <v>180000</v>
      </c>
      <c r="O69" s="99">
        <f t="shared" si="0"/>
        <v>1110000</v>
      </c>
    </row>
    <row r="70" spans="2:15" x14ac:dyDescent="0.35">
      <c r="B70" s="81" t="s">
        <v>229</v>
      </c>
      <c r="C70" s="84">
        <v>0</v>
      </c>
      <c r="D70" s="84">
        <v>1898115</v>
      </c>
      <c r="E70" s="84">
        <v>410000</v>
      </c>
      <c r="F70" s="84">
        <v>0</v>
      </c>
      <c r="G70" s="84">
        <v>0</v>
      </c>
      <c r="H70" s="84">
        <v>998747</v>
      </c>
      <c r="I70" s="84">
        <v>0</v>
      </c>
      <c r="J70" s="84">
        <v>0</v>
      </c>
      <c r="K70" s="84">
        <v>1199022</v>
      </c>
      <c r="L70" s="84">
        <v>380000</v>
      </c>
      <c r="M70" s="84">
        <v>275000</v>
      </c>
      <c r="N70" s="84">
        <v>542025</v>
      </c>
      <c r="O70" s="99">
        <f t="shared" si="0"/>
        <v>5702909</v>
      </c>
    </row>
    <row r="71" spans="2:15" x14ac:dyDescent="0.35">
      <c r="B71" s="81" t="s">
        <v>230</v>
      </c>
      <c r="C71" s="84">
        <v>616801</v>
      </c>
      <c r="D71" s="84">
        <v>0</v>
      </c>
      <c r="E71" s="84">
        <v>0</v>
      </c>
      <c r="F71" s="84">
        <v>614603</v>
      </c>
      <c r="G71" s="84">
        <v>0</v>
      </c>
      <c r="H71" s="84">
        <v>598693</v>
      </c>
      <c r="I71" s="84">
        <v>0</v>
      </c>
      <c r="J71" s="84">
        <v>628756</v>
      </c>
      <c r="K71" s="84">
        <v>0</v>
      </c>
      <c r="L71" s="84">
        <v>701297</v>
      </c>
      <c r="M71" s="84">
        <v>0</v>
      </c>
      <c r="N71" s="84">
        <v>731654</v>
      </c>
      <c r="O71" s="99">
        <f t="shared" si="0"/>
        <v>3891804</v>
      </c>
    </row>
    <row r="72" spans="2:15" x14ac:dyDescent="0.35">
      <c r="B72" s="81" t="s">
        <v>264</v>
      </c>
      <c r="C72" s="84">
        <v>0</v>
      </c>
      <c r="D72" s="84">
        <v>0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128710</v>
      </c>
      <c r="L72" s="84">
        <v>0</v>
      </c>
      <c r="M72" s="84">
        <v>104432</v>
      </c>
      <c r="N72" s="84">
        <v>0</v>
      </c>
      <c r="O72" s="99">
        <f t="shared" si="0"/>
        <v>233142</v>
      </c>
    </row>
    <row r="73" spans="2:15" x14ac:dyDescent="0.35">
      <c r="B73" s="81" t="s">
        <v>231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997948</v>
      </c>
      <c r="M73" s="84">
        <v>0</v>
      </c>
      <c r="N73" s="84">
        <v>0</v>
      </c>
      <c r="O73" s="99">
        <f t="shared" si="0"/>
        <v>997948</v>
      </c>
    </row>
    <row r="74" spans="2:15" x14ac:dyDescent="0.35">
      <c r="B74" s="81" t="s">
        <v>232</v>
      </c>
      <c r="C74" s="84">
        <v>942617</v>
      </c>
      <c r="D74" s="84">
        <v>913329</v>
      </c>
      <c r="E74" s="84">
        <v>1958703</v>
      </c>
      <c r="F74" s="84">
        <v>1504201</v>
      </c>
      <c r="G74" s="84">
        <v>1406681</v>
      </c>
      <c r="H74" s="84">
        <v>1457330</v>
      </c>
      <c r="I74" s="84">
        <v>579626</v>
      </c>
      <c r="J74" s="84">
        <v>1353817</v>
      </c>
      <c r="K74" s="84">
        <v>890859</v>
      </c>
      <c r="L74" s="84">
        <v>1106537</v>
      </c>
      <c r="M74" s="84">
        <v>1971820</v>
      </c>
      <c r="N74" s="84">
        <v>1273926</v>
      </c>
      <c r="O74" s="99">
        <f t="shared" si="0"/>
        <v>15359446</v>
      </c>
    </row>
    <row r="75" spans="2:15" x14ac:dyDescent="0.35">
      <c r="B75" s="81" t="s">
        <v>233</v>
      </c>
      <c r="C75" s="84">
        <v>150000</v>
      </c>
      <c r="D75" s="84">
        <v>150000</v>
      </c>
      <c r="E75" s="84">
        <v>100000</v>
      </c>
      <c r="F75" s="84">
        <v>100000</v>
      </c>
      <c r="G75" s="84">
        <v>150000</v>
      </c>
      <c r="H75" s="84">
        <v>200000</v>
      </c>
      <c r="I75" s="84">
        <v>50000</v>
      </c>
      <c r="J75" s="84">
        <v>250000</v>
      </c>
      <c r="K75" s="84">
        <v>254534</v>
      </c>
      <c r="L75" s="84">
        <v>360000</v>
      </c>
      <c r="M75" s="84">
        <v>365000</v>
      </c>
      <c r="N75" s="84">
        <v>160000</v>
      </c>
      <c r="O75" s="99">
        <f t="shared" si="0"/>
        <v>2289534</v>
      </c>
    </row>
    <row r="76" spans="2:15" x14ac:dyDescent="0.35">
      <c r="B76" s="81" t="s">
        <v>234</v>
      </c>
      <c r="C76" s="84">
        <v>0</v>
      </c>
      <c r="D76" s="84">
        <v>941133</v>
      </c>
      <c r="E76" s="84">
        <v>0</v>
      </c>
      <c r="F76" s="84">
        <v>0</v>
      </c>
      <c r="G76" s="84">
        <v>150000</v>
      </c>
      <c r="H76" s="84">
        <v>305000</v>
      </c>
      <c r="I76" s="84">
        <v>0</v>
      </c>
      <c r="J76" s="84">
        <v>0</v>
      </c>
      <c r="K76" s="84">
        <v>70000</v>
      </c>
      <c r="L76" s="84">
        <v>230000</v>
      </c>
      <c r="M76" s="84">
        <v>0</v>
      </c>
      <c r="N76" s="84">
        <v>175000</v>
      </c>
      <c r="O76" s="99">
        <f t="shared" si="0"/>
        <v>1871133</v>
      </c>
    </row>
    <row r="77" spans="2:15" x14ac:dyDescent="0.35">
      <c r="B77" s="81" t="s">
        <v>235</v>
      </c>
      <c r="C77" s="84">
        <v>998074</v>
      </c>
      <c r="D77" s="84">
        <v>0</v>
      </c>
      <c r="E77" s="84">
        <v>0</v>
      </c>
      <c r="F77" s="84">
        <v>0</v>
      </c>
      <c r="G77" s="84">
        <v>998663</v>
      </c>
      <c r="H77" s="84">
        <v>998736</v>
      </c>
      <c r="I77" s="84">
        <v>0</v>
      </c>
      <c r="J77" s="84">
        <v>0</v>
      </c>
      <c r="K77" s="84">
        <v>0</v>
      </c>
      <c r="L77" s="84">
        <v>1267407</v>
      </c>
      <c r="M77" s="84">
        <v>965120</v>
      </c>
      <c r="N77" s="84">
        <v>350000</v>
      </c>
      <c r="O77" s="99">
        <f t="shared" si="0"/>
        <v>5578000</v>
      </c>
    </row>
    <row r="78" spans="2:15" x14ac:dyDescent="0.35">
      <c r="B78" s="81" t="s">
        <v>236</v>
      </c>
      <c r="C78" s="84">
        <v>0</v>
      </c>
      <c r="D78" s="84">
        <v>125648</v>
      </c>
      <c r="E78" s="84">
        <v>0</v>
      </c>
      <c r="F78" s="84">
        <v>35884</v>
      </c>
      <c r="G78" s="84">
        <v>419284</v>
      </c>
      <c r="H78" s="84">
        <v>54740</v>
      </c>
      <c r="I78" s="84">
        <v>262080</v>
      </c>
      <c r="J78" s="84">
        <v>0</v>
      </c>
      <c r="K78" s="84">
        <v>343280</v>
      </c>
      <c r="L78" s="84">
        <v>255500</v>
      </c>
      <c r="M78" s="84">
        <v>265132</v>
      </c>
      <c r="N78" s="84">
        <v>50000</v>
      </c>
      <c r="O78" s="99">
        <f t="shared" si="0"/>
        <v>1811548</v>
      </c>
    </row>
    <row r="79" spans="2:15" x14ac:dyDescent="0.35">
      <c r="B79" s="81" t="s">
        <v>237</v>
      </c>
      <c r="C79" s="84">
        <v>0</v>
      </c>
      <c r="D79" s="84">
        <v>53850</v>
      </c>
      <c r="E79" s="84">
        <v>0</v>
      </c>
      <c r="F79" s="84">
        <v>15379</v>
      </c>
      <c r="G79" s="84">
        <v>179694</v>
      </c>
      <c r="H79" s="84">
        <v>23460</v>
      </c>
      <c r="I79" s="84">
        <v>112320</v>
      </c>
      <c r="J79" s="84">
        <v>0</v>
      </c>
      <c r="K79" s="84">
        <v>147120</v>
      </c>
      <c r="L79" s="84">
        <v>109500</v>
      </c>
      <c r="M79" s="84">
        <v>135192</v>
      </c>
      <c r="N79" s="84">
        <v>0</v>
      </c>
      <c r="O79" s="99">
        <f t="shared" si="0"/>
        <v>776515</v>
      </c>
    </row>
    <row r="80" spans="2:15" x14ac:dyDescent="0.35">
      <c r="B80" s="81" t="s">
        <v>238</v>
      </c>
      <c r="C80" s="84">
        <v>0</v>
      </c>
      <c r="D80" s="84">
        <v>616666</v>
      </c>
      <c r="E80" s="84">
        <v>0</v>
      </c>
      <c r="F80" s="84">
        <v>449046</v>
      </c>
      <c r="G80" s="84">
        <v>50000</v>
      </c>
      <c r="H80" s="84">
        <v>202500</v>
      </c>
      <c r="I80" s="84">
        <v>0</v>
      </c>
      <c r="J80" s="84">
        <v>0</v>
      </c>
      <c r="K80" s="84">
        <v>350000</v>
      </c>
      <c r="L80" s="84">
        <v>1241168</v>
      </c>
      <c r="M80" s="84">
        <v>230000</v>
      </c>
      <c r="N80" s="84">
        <v>275000</v>
      </c>
      <c r="O80" s="99">
        <f t="shared" si="0"/>
        <v>3414380</v>
      </c>
    </row>
    <row r="81" spans="2:16" x14ac:dyDescent="0.35">
      <c r="B81" s="81" t="s">
        <v>239</v>
      </c>
      <c r="C81" s="84">
        <v>20326</v>
      </c>
      <c r="D81" s="84">
        <v>20273</v>
      </c>
      <c r="E81" s="84">
        <v>5231</v>
      </c>
      <c r="F81" s="84">
        <v>0</v>
      </c>
      <c r="G81" s="84">
        <v>46734</v>
      </c>
      <c r="H81" s="84">
        <v>0</v>
      </c>
      <c r="I81" s="84">
        <v>0</v>
      </c>
      <c r="J81" s="84">
        <v>47431</v>
      </c>
      <c r="K81" s="84">
        <v>0</v>
      </c>
      <c r="L81" s="84">
        <v>17939</v>
      </c>
      <c r="M81" s="84">
        <v>22678</v>
      </c>
      <c r="N81" s="84">
        <v>22864</v>
      </c>
      <c r="O81" s="99">
        <f t="shared" si="0"/>
        <v>203476</v>
      </c>
    </row>
    <row r="82" spans="2:16" x14ac:dyDescent="0.35">
      <c r="B82" s="81" t="s">
        <v>240</v>
      </c>
      <c r="C82" s="84">
        <v>58731</v>
      </c>
      <c r="D82" s="84">
        <v>46379</v>
      </c>
      <c r="E82" s="84">
        <v>52010</v>
      </c>
      <c r="F82" s="84">
        <v>0</v>
      </c>
      <c r="G82" s="84">
        <v>98766</v>
      </c>
      <c r="H82" s="84">
        <v>0</v>
      </c>
      <c r="I82" s="84">
        <v>0</v>
      </c>
      <c r="J82" s="84">
        <v>207394</v>
      </c>
      <c r="K82" s="84">
        <v>0</v>
      </c>
      <c r="L82" s="84">
        <v>67574</v>
      </c>
      <c r="M82" s="84">
        <v>35305</v>
      </c>
      <c r="N82" s="84">
        <v>39702</v>
      </c>
      <c r="O82" s="99">
        <f t="shared" si="0"/>
        <v>605861</v>
      </c>
    </row>
    <row r="83" spans="2:16" x14ac:dyDescent="0.35">
      <c r="B83" s="81" t="s">
        <v>241</v>
      </c>
      <c r="C83" s="84">
        <v>41945</v>
      </c>
      <c r="D83" s="84">
        <v>39595</v>
      </c>
      <c r="E83" s="84">
        <v>29145</v>
      </c>
      <c r="F83" s="84">
        <v>0</v>
      </c>
      <c r="G83" s="84">
        <v>75873</v>
      </c>
      <c r="H83" s="84">
        <v>0</v>
      </c>
      <c r="I83" s="84">
        <v>0</v>
      </c>
      <c r="J83" s="84">
        <v>99516</v>
      </c>
      <c r="K83" s="84">
        <v>0</v>
      </c>
      <c r="L83" s="84">
        <v>36738</v>
      </c>
      <c r="M83" s="84">
        <v>35399</v>
      </c>
      <c r="N83" s="84">
        <v>35924</v>
      </c>
      <c r="O83" s="99">
        <f t="shared" si="0"/>
        <v>394135</v>
      </c>
    </row>
    <row r="84" spans="2:16" x14ac:dyDescent="0.35">
      <c r="B84" s="81" t="s">
        <v>242</v>
      </c>
      <c r="C84" s="84">
        <v>39025</v>
      </c>
      <c r="D84" s="84">
        <v>232245</v>
      </c>
      <c r="E84" s="84">
        <v>142695</v>
      </c>
      <c r="F84" s="84">
        <v>53909</v>
      </c>
      <c r="G84" s="84">
        <v>229713</v>
      </c>
      <c r="H84" s="84">
        <v>29000</v>
      </c>
      <c r="I84" s="84">
        <v>122000</v>
      </c>
      <c r="J84" s="84">
        <v>0</v>
      </c>
      <c r="K84" s="84">
        <v>137840</v>
      </c>
      <c r="L84" s="84">
        <v>157467</v>
      </c>
      <c r="M84" s="84">
        <v>175535</v>
      </c>
      <c r="N84" s="84">
        <v>0</v>
      </c>
      <c r="O84" s="99">
        <f t="shared" si="0"/>
        <v>1319429</v>
      </c>
    </row>
    <row r="85" spans="2:16" x14ac:dyDescent="0.35">
      <c r="B85" s="81" t="s">
        <v>243</v>
      </c>
      <c r="C85" s="84">
        <v>90000</v>
      </c>
      <c r="D85" s="84">
        <v>0</v>
      </c>
      <c r="E85" s="84">
        <v>260000</v>
      </c>
      <c r="F85" s="84">
        <v>0</v>
      </c>
      <c r="G85" s="84">
        <v>0</v>
      </c>
      <c r="H85" s="84">
        <v>120000</v>
      </c>
      <c r="I85" s="84">
        <v>0</v>
      </c>
      <c r="J85" s="84">
        <v>0</v>
      </c>
      <c r="K85" s="84">
        <v>0</v>
      </c>
      <c r="L85" s="84">
        <v>0</v>
      </c>
      <c r="M85" s="84">
        <v>470000</v>
      </c>
      <c r="N85" s="84">
        <v>0</v>
      </c>
      <c r="O85" s="99">
        <f t="shared" si="0"/>
        <v>940000</v>
      </c>
    </row>
    <row r="86" spans="2:16" x14ac:dyDescent="0.35">
      <c r="B86" s="81" t="s">
        <v>85</v>
      </c>
      <c r="C86" s="84">
        <v>169097</v>
      </c>
      <c r="D86" s="84">
        <v>173867</v>
      </c>
      <c r="E86" s="84">
        <v>174417</v>
      </c>
      <c r="F86" s="84">
        <v>0</v>
      </c>
      <c r="G86" s="84">
        <v>193791</v>
      </c>
      <c r="H86" s="84">
        <v>177837</v>
      </c>
      <c r="I86" s="84">
        <v>0</v>
      </c>
      <c r="J86" s="84">
        <v>183124</v>
      </c>
      <c r="K86" s="84">
        <v>171424</v>
      </c>
      <c r="L86" s="84">
        <v>198923</v>
      </c>
      <c r="M86" s="84">
        <v>149781</v>
      </c>
      <c r="N86" s="84">
        <v>193205</v>
      </c>
      <c r="O86" s="99">
        <f t="shared" si="0"/>
        <v>1785466</v>
      </c>
    </row>
    <row r="87" spans="2:16" x14ac:dyDescent="0.35">
      <c r="B87" s="81" t="s">
        <v>244</v>
      </c>
      <c r="C87" s="84">
        <v>100762</v>
      </c>
      <c r="D87" s="84">
        <v>103576</v>
      </c>
      <c r="E87" s="84">
        <v>105569</v>
      </c>
      <c r="F87" s="84">
        <v>0</v>
      </c>
      <c r="G87" s="84">
        <v>116920</v>
      </c>
      <c r="H87" s="84">
        <v>121736</v>
      </c>
      <c r="I87" s="84">
        <v>0</v>
      </c>
      <c r="J87" s="84">
        <v>127027</v>
      </c>
      <c r="K87" s="84">
        <v>128538</v>
      </c>
      <c r="L87" s="84">
        <v>118978</v>
      </c>
      <c r="M87" s="84">
        <v>106156</v>
      </c>
      <c r="N87" s="84">
        <v>136720</v>
      </c>
      <c r="O87" s="99">
        <f t="shared" si="0"/>
        <v>1165982</v>
      </c>
    </row>
    <row r="88" spans="2:16" x14ac:dyDescent="0.35">
      <c r="B88" s="81" t="s">
        <v>245</v>
      </c>
      <c r="C88" s="84">
        <v>0</v>
      </c>
      <c r="D88" s="84">
        <v>0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0</v>
      </c>
      <c r="N88" s="84">
        <v>0</v>
      </c>
      <c r="O88" s="99">
        <f t="shared" si="0"/>
        <v>0</v>
      </c>
    </row>
    <row r="89" spans="2:16" x14ac:dyDescent="0.35">
      <c r="B89" s="81" t="s">
        <v>246</v>
      </c>
      <c r="C89" s="84">
        <v>0</v>
      </c>
      <c r="D89" s="84">
        <v>100000</v>
      </c>
      <c r="E89" s="84">
        <v>0</v>
      </c>
      <c r="F89" s="84">
        <v>0</v>
      </c>
      <c r="G89" s="84">
        <v>0</v>
      </c>
      <c r="H89" s="84">
        <v>70000</v>
      </c>
      <c r="I89" s="84">
        <v>130000</v>
      </c>
      <c r="J89" s="84">
        <v>250000</v>
      </c>
      <c r="K89" s="84">
        <v>0</v>
      </c>
      <c r="L89" s="84">
        <v>0</v>
      </c>
      <c r="M89" s="84">
        <v>0</v>
      </c>
      <c r="N89" s="84">
        <v>50000</v>
      </c>
      <c r="O89" s="99">
        <f t="shared" si="0"/>
        <v>600000</v>
      </c>
    </row>
    <row r="90" spans="2:16" x14ac:dyDescent="0.35">
      <c r="B90" s="81" t="s">
        <v>265</v>
      </c>
      <c r="C90" s="84">
        <v>8086.38</v>
      </c>
      <c r="D90" s="84">
        <v>4834</v>
      </c>
      <c r="E90" s="84">
        <v>5151</v>
      </c>
      <c r="F90" s="84">
        <v>8705</v>
      </c>
      <c r="G90" s="84">
        <v>6035.4</v>
      </c>
      <c r="H90" s="84">
        <v>8378</v>
      </c>
      <c r="I90" s="84">
        <v>4088.6</v>
      </c>
      <c r="J90" s="84">
        <v>0</v>
      </c>
      <c r="K90" s="84">
        <v>5593.3</v>
      </c>
      <c r="L90" s="84">
        <v>2871</v>
      </c>
      <c r="M90" s="84">
        <v>0</v>
      </c>
      <c r="N90" s="84">
        <v>5059</v>
      </c>
      <c r="O90" s="99">
        <f t="shared" si="0"/>
        <v>58801.68</v>
      </c>
    </row>
    <row r="91" spans="2:16" x14ac:dyDescent="0.35">
      <c r="B91" s="81" t="s">
        <v>247</v>
      </c>
      <c r="C91" s="84">
        <v>0</v>
      </c>
      <c r="D91" s="84">
        <v>60000</v>
      </c>
      <c r="E91" s="84">
        <v>4760</v>
      </c>
      <c r="F91" s="84">
        <v>6642</v>
      </c>
      <c r="G91" s="84">
        <v>60000</v>
      </c>
      <c r="H91" s="84">
        <v>1195</v>
      </c>
      <c r="I91" s="84">
        <v>28800</v>
      </c>
      <c r="J91" s="84">
        <v>0</v>
      </c>
      <c r="K91" s="84">
        <v>30320</v>
      </c>
      <c r="L91" s="84">
        <v>39900</v>
      </c>
      <c r="M91" s="84">
        <v>49200</v>
      </c>
      <c r="N91" s="84">
        <v>0</v>
      </c>
      <c r="O91" s="99">
        <f t="shared" si="0"/>
        <v>280817</v>
      </c>
    </row>
    <row r="92" spans="2:16" x14ac:dyDescent="0.35">
      <c r="B92" s="81" t="s">
        <v>248</v>
      </c>
      <c r="C92" s="84">
        <v>30000</v>
      </c>
      <c r="D92" s="84">
        <v>22598</v>
      </c>
      <c r="E92" s="84">
        <v>0</v>
      </c>
      <c r="F92" s="84">
        <v>0</v>
      </c>
      <c r="G92" s="84">
        <v>40000</v>
      </c>
      <c r="H92" s="84">
        <v>50000</v>
      </c>
      <c r="I92" s="84">
        <v>0</v>
      </c>
      <c r="J92" s="84">
        <v>40000</v>
      </c>
      <c r="K92" s="84">
        <v>50000</v>
      </c>
      <c r="L92" s="84">
        <v>32550</v>
      </c>
      <c r="M92" s="84">
        <v>44500</v>
      </c>
      <c r="N92" s="84">
        <v>50000</v>
      </c>
      <c r="O92" s="99">
        <f t="shared" si="0"/>
        <v>359648</v>
      </c>
    </row>
    <row r="93" spans="2:16" x14ac:dyDescent="0.35">
      <c r="B93" s="81" t="s">
        <v>249</v>
      </c>
      <c r="C93" s="84">
        <v>1290643</v>
      </c>
      <c r="D93" s="84">
        <v>0</v>
      </c>
      <c r="E93" s="84">
        <v>648255</v>
      </c>
      <c r="F93" s="84">
        <v>682460</v>
      </c>
      <c r="G93" s="84">
        <v>0</v>
      </c>
      <c r="H93" s="84">
        <v>650013</v>
      </c>
      <c r="I93" s="84">
        <v>649965</v>
      </c>
      <c r="J93" s="84">
        <v>599785</v>
      </c>
      <c r="K93" s="84">
        <v>701460</v>
      </c>
      <c r="L93" s="84">
        <v>0</v>
      </c>
      <c r="M93" s="84">
        <v>630237</v>
      </c>
      <c r="N93" s="84">
        <v>700060</v>
      </c>
      <c r="O93" s="99">
        <f t="shared" si="0"/>
        <v>6552878</v>
      </c>
    </row>
    <row r="94" spans="2:16" x14ac:dyDescent="0.35">
      <c r="B94" s="81" t="s">
        <v>250</v>
      </c>
      <c r="C94" s="84">
        <v>0</v>
      </c>
      <c r="D94" s="84">
        <v>666698</v>
      </c>
      <c r="E94" s="84">
        <v>0</v>
      </c>
      <c r="F94" s="84">
        <v>998150</v>
      </c>
      <c r="G94" s="84">
        <v>997913</v>
      </c>
      <c r="H94" s="84">
        <v>124800</v>
      </c>
      <c r="I94" s="84">
        <v>500080</v>
      </c>
      <c r="J94" s="84">
        <v>0</v>
      </c>
      <c r="K94" s="84">
        <v>250000</v>
      </c>
      <c r="L94" s="84">
        <v>0</v>
      </c>
      <c r="M94" s="84">
        <v>0</v>
      </c>
      <c r="N94" s="84">
        <v>90000</v>
      </c>
      <c r="O94" s="99">
        <f t="shared" si="0"/>
        <v>3627641</v>
      </c>
    </row>
    <row r="95" spans="2:16" x14ac:dyDescent="0.35">
      <c r="B95" s="81" t="s">
        <v>266</v>
      </c>
      <c r="C95" s="82">
        <f>SUM(C9:C94)</f>
        <v>47281072.220000006</v>
      </c>
      <c r="D95" s="82">
        <f t="shared" ref="D95:O95" si="1">SUM(D9:D94)</f>
        <v>40855566.280000001</v>
      </c>
      <c r="E95" s="82">
        <f t="shared" si="1"/>
        <v>49541597.619999997</v>
      </c>
      <c r="F95" s="82">
        <f t="shared" si="1"/>
        <v>36494121.519999996</v>
      </c>
      <c r="G95" s="82">
        <f t="shared" si="1"/>
        <v>43584004.619999997</v>
      </c>
      <c r="H95" s="82">
        <f t="shared" si="1"/>
        <v>47111867.030000001</v>
      </c>
      <c r="I95" s="82">
        <f t="shared" si="1"/>
        <v>40259733.5</v>
      </c>
      <c r="J95" s="82">
        <f t="shared" si="1"/>
        <v>43157891.129999995</v>
      </c>
      <c r="K95" s="82">
        <f t="shared" si="1"/>
        <v>45168730.640000001</v>
      </c>
      <c r="L95" s="82">
        <f t="shared" si="1"/>
        <v>47743228</v>
      </c>
      <c r="M95" s="82">
        <f t="shared" si="1"/>
        <v>42182705.759999998</v>
      </c>
      <c r="N95" s="82">
        <f t="shared" si="1"/>
        <v>50778757.810000002</v>
      </c>
      <c r="O95" s="82">
        <f t="shared" si="1"/>
        <v>534159276.13</v>
      </c>
      <c r="P95" s="82"/>
    </row>
  </sheetData>
  <mergeCells count="9">
    <mergeCell ref="B29:B30"/>
    <mergeCell ref="B35:B38"/>
    <mergeCell ref="B45:B48"/>
    <mergeCell ref="B6:F6"/>
    <mergeCell ref="B12:B13"/>
    <mergeCell ref="B14:B16"/>
    <mergeCell ref="B18:B23"/>
    <mergeCell ref="B24:B25"/>
    <mergeCell ref="B27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Crude Oil Production _2022-2023</vt:lpstr>
      <vt:lpstr>Crude Lifitng_2022</vt:lpstr>
      <vt:lpstr>Crude Lifitng_2023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Deji Richard Adeshile</dc:creator>
  <cp:lastModifiedBy>Deji Richard Adeshile</cp:lastModifiedBy>
  <dcterms:created xsi:type="dcterms:W3CDTF">2024-10-10T11:19:52Z</dcterms:created>
  <dcterms:modified xsi:type="dcterms:W3CDTF">2024-10-10T11:28:14Z</dcterms:modified>
</cp:coreProperties>
</file>